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COMMUN\Vulgarisation\Greenotélex\2017.04.14\"/>
    </mc:Choice>
  </mc:AlternateContent>
  <bookViews>
    <workbookView xWindow="0" yWindow="0" windowWidth="22668" windowHeight="2868" activeTab="1"/>
  </bookViews>
  <sheets>
    <sheet name="Notice" sheetId="4" r:id="rId1"/>
    <sheet name="Simulateur Couverts" sheetId="2" r:id="rId2"/>
    <sheet name="BDD" sheetId="1" r:id="rId3"/>
    <sheet name="Feuil3" sheetId="3" r:id="rId4"/>
  </sheets>
  <definedNames>
    <definedName name="Couvert">BDD!$A$5:$A$47</definedName>
  </definedNames>
  <calcPr calcId="171027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6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6" i="1"/>
  <c r="AZ11" i="2" l="1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10" i="2"/>
  <c r="AW18" i="2"/>
  <c r="AX18" i="2"/>
  <c r="AW19" i="2"/>
  <c r="AX19" i="2"/>
  <c r="AW20" i="2"/>
  <c r="AX20" i="2"/>
  <c r="AW21" i="2"/>
  <c r="AX21" i="2"/>
  <c r="AW22" i="2"/>
  <c r="AX22" i="2"/>
  <c r="AW23" i="2"/>
  <c r="AX23" i="2"/>
  <c r="AX24" i="2"/>
  <c r="AV11" i="2"/>
  <c r="AX11" i="2" s="1"/>
  <c r="AV12" i="2"/>
  <c r="AX12" i="2" s="1"/>
  <c r="AV13" i="2"/>
  <c r="AX13" i="2" s="1"/>
  <c r="AV14" i="2"/>
  <c r="AX14" i="2" s="1"/>
  <c r="AV15" i="2"/>
  <c r="AX15" i="2" s="1"/>
  <c r="AV16" i="2"/>
  <c r="AX16" i="2" s="1"/>
  <c r="AV17" i="2"/>
  <c r="AX17" i="2" s="1"/>
  <c r="AV18" i="2"/>
  <c r="AV19" i="2"/>
  <c r="AV20" i="2"/>
  <c r="AV21" i="2"/>
  <c r="AV22" i="2"/>
  <c r="AV23" i="2"/>
  <c r="AV24" i="2"/>
  <c r="AV10" i="2"/>
  <c r="AX10" i="2" s="1"/>
  <c r="BA22" i="2" l="1"/>
  <c r="BA20" i="2"/>
  <c r="BA18" i="2"/>
  <c r="BA23" i="2"/>
  <c r="BA21" i="2"/>
  <c r="BA19" i="2"/>
  <c r="H19" i="2"/>
  <c r="H20" i="2"/>
  <c r="H21" i="2"/>
  <c r="H22" i="2"/>
  <c r="H23" i="2"/>
  <c r="AJ19" i="2" l="1"/>
  <c r="AJ20" i="2"/>
  <c r="AJ22" i="2"/>
  <c r="AJ23" i="2"/>
  <c r="AG19" i="2"/>
  <c r="AG20" i="2"/>
  <c r="AG21" i="2"/>
  <c r="AG22" i="2"/>
  <c r="AG23" i="2"/>
  <c r="AF11" i="2"/>
  <c r="AJ11" i="2" s="1"/>
  <c r="AF12" i="2"/>
  <c r="AJ12" i="2" s="1"/>
  <c r="AF13" i="2"/>
  <c r="AJ13" i="2" s="1"/>
  <c r="AF14" i="2"/>
  <c r="AJ14" i="2" s="1"/>
  <c r="AF15" i="2"/>
  <c r="AJ15" i="2" s="1"/>
  <c r="AF16" i="2"/>
  <c r="AJ16" i="2" s="1"/>
  <c r="AF17" i="2"/>
  <c r="AJ17" i="2" s="1"/>
  <c r="AF18" i="2"/>
  <c r="AJ18" i="2" s="1"/>
  <c r="AF19" i="2"/>
  <c r="AF20" i="2"/>
  <c r="AF21" i="2"/>
  <c r="AJ21" i="2" s="1"/>
  <c r="AF22" i="2"/>
  <c r="AF23" i="2"/>
  <c r="AF24" i="2"/>
  <c r="AJ24" i="2" s="1"/>
  <c r="AF10" i="2"/>
  <c r="AJ10" i="2" s="1"/>
  <c r="AD19" i="2"/>
  <c r="AD20" i="2"/>
  <c r="AD21" i="2"/>
  <c r="AD22" i="2"/>
  <c r="AD23" i="2"/>
  <c r="AA19" i="2"/>
  <c r="AA20" i="2"/>
  <c r="AA21" i="2"/>
  <c r="AA22" i="2"/>
  <c r="AA23" i="2"/>
  <c r="AM11" i="2"/>
  <c r="AR11" i="2" s="1"/>
  <c r="AM12" i="2"/>
  <c r="AS12" i="2" s="1"/>
  <c r="AM13" i="2"/>
  <c r="AT13" i="2" s="1"/>
  <c r="AM14" i="2"/>
  <c r="AP14" i="2" s="1"/>
  <c r="AM15" i="2"/>
  <c r="AR15" i="2" s="1"/>
  <c r="AM16" i="2"/>
  <c r="AS16" i="2" s="1"/>
  <c r="AM17" i="2"/>
  <c r="AT17" i="2" s="1"/>
  <c r="AM18" i="2"/>
  <c r="AM19" i="2"/>
  <c r="AR19" i="2" s="1"/>
  <c r="AM20" i="2"/>
  <c r="AS20" i="2" s="1"/>
  <c r="AM21" i="2"/>
  <c r="AT21" i="2" s="1"/>
  <c r="AM22" i="2"/>
  <c r="AP22" i="2" s="1"/>
  <c r="AM23" i="2"/>
  <c r="AR23" i="2" s="1"/>
  <c r="AM24" i="2"/>
  <c r="AS24" i="2" s="1"/>
  <c r="AM10" i="2"/>
  <c r="AS10" i="2" s="1"/>
  <c r="AN19" i="2" l="1"/>
  <c r="AP23" i="2"/>
  <c r="AP15" i="2"/>
  <c r="AT10" i="2"/>
  <c r="AS17" i="2"/>
  <c r="AO23" i="2"/>
  <c r="AP21" i="2"/>
  <c r="AS23" i="2"/>
  <c r="AS15" i="2"/>
  <c r="AN23" i="2"/>
  <c r="AN15" i="2"/>
  <c r="AO21" i="2"/>
  <c r="AP19" i="2"/>
  <c r="AS21" i="2"/>
  <c r="AS13" i="2"/>
  <c r="AN21" i="2"/>
  <c r="AN13" i="2"/>
  <c r="AO19" i="2"/>
  <c r="AP17" i="2"/>
  <c r="AR10" i="2"/>
  <c r="AS19" i="2"/>
  <c r="AS11" i="2"/>
  <c r="AR24" i="2"/>
  <c r="AT22" i="2"/>
  <c r="AR20" i="2"/>
  <c r="AT18" i="2"/>
  <c r="AR16" i="2"/>
  <c r="AT14" i="2"/>
  <c r="AR12" i="2"/>
  <c r="AN20" i="2"/>
  <c r="AN16" i="2"/>
  <c r="AO22" i="2"/>
  <c r="AO18" i="2"/>
  <c r="AP24" i="2"/>
  <c r="AP20" i="2"/>
  <c r="AP16" i="2"/>
  <c r="AT23" i="2"/>
  <c r="AS22" i="2"/>
  <c r="AR21" i="2"/>
  <c r="AT19" i="2"/>
  <c r="AS18" i="2"/>
  <c r="AR17" i="2"/>
  <c r="AT15" i="2"/>
  <c r="AS14" i="2"/>
  <c r="AR13" i="2"/>
  <c r="AT11" i="2"/>
  <c r="AT24" i="2"/>
  <c r="AR22" i="2"/>
  <c r="AT20" i="2"/>
  <c r="AR18" i="2"/>
  <c r="AT16" i="2"/>
  <c r="AR14" i="2"/>
  <c r="AT12" i="2"/>
  <c r="AN22" i="2"/>
  <c r="AN18" i="2"/>
  <c r="AO24" i="2"/>
  <c r="AO2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10" i="2"/>
  <c r="AI19" i="2"/>
  <c r="AI20" i="2"/>
  <c r="AI21" i="2"/>
  <c r="AI22" i="2"/>
  <c r="AI23" i="2"/>
  <c r="AE19" i="2"/>
  <c r="AE20" i="2"/>
  <c r="AE21" i="2"/>
  <c r="AE22" i="2"/>
  <c r="AE23" i="2"/>
  <c r="B25" i="2"/>
  <c r="AB11" i="2"/>
  <c r="AB12" i="2"/>
  <c r="AB13" i="2"/>
  <c r="AI13" i="2" s="1"/>
  <c r="AB14" i="2"/>
  <c r="AB15" i="2"/>
  <c r="AI15" i="2" s="1"/>
  <c r="AB16" i="2"/>
  <c r="AB17" i="2"/>
  <c r="AI17" i="2" s="1"/>
  <c r="AB18" i="2"/>
  <c r="AB19" i="2"/>
  <c r="AB20" i="2"/>
  <c r="AB21" i="2"/>
  <c r="AB22" i="2"/>
  <c r="AB23" i="2"/>
  <c r="AB24" i="2"/>
  <c r="AB10" i="2"/>
  <c r="F7" i="3"/>
  <c r="C7" i="3"/>
  <c r="Y11" i="2"/>
  <c r="AG11" i="2" s="1"/>
  <c r="Y12" i="2"/>
  <c r="AG12" i="2" s="1"/>
  <c r="Y13" i="2"/>
  <c r="Y14" i="2"/>
  <c r="Y15" i="2"/>
  <c r="Y16" i="2"/>
  <c r="Y17" i="2"/>
  <c r="Y18" i="2"/>
  <c r="Y19" i="2"/>
  <c r="Y20" i="2"/>
  <c r="Y21" i="2"/>
  <c r="Y22" i="2"/>
  <c r="Y23" i="2"/>
  <c r="Y24" i="2"/>
  <c r="Y10" i="2"/>
  <c r="AG10" i="2" s="1"/>
  <c r="AI24" i="2" l="1"/>
  <c r="AG24" i="2"/>
  <c r="AE24" i="2"/>
  <c r="AI18" i="2"/>
  <c r="AU18" i="2"/>
  <c r="AG18" i="2"/>
  <c r="AE18" i="2"/>
  <c r="AG17" i="2"/>
  <c r="AE17" i="2"/>
  <c r="AU17" i="2"/>
  <c r="AU15" i="2"/>
  <c r="AI16" i="2"/>
  <c r="AG16" i="2"/>
  <c r="AE16" i="2"/>
  <c r="AG15" i="2"/>
  <c r="AE15" i="2"/>
  <c r="AU11" i="2"/>
  <c r="AG14" i="2"/>
  <c r="AE14" i="2"/>
  <c r="AI14" i="2"/>
  <c r="AU14" i="2"/>
  <c r="AG13" i="2"/>
  <c r="AE13" i="2"/>
  <c r="AU13" i="2"/>
  <c r="AI12" i="2"/>
  <c r="AE11" i="2"/>
  <c r="AI11" i="2"/>
  <c r="AE10" i="2"/>
  <c r="AE12" i="2"/>
  <c r="AI10" i="2"/>
  <c r="AU23" i="2"/>
  <c r="AU10" i="2"/>
  <c r="AU12" i="2"/>
  <c r="AU20" i="2"/>
  <c r="AU16" i="2"/>
  <c r="AU24" i="2"/>
  <c r="AU22" i="2"/>
  <c r="AS25" i="2"/>
  <c r="AU19" i="2"/>
  <c r="AU21" i="2"/>
  <c r="AT25" i="2"/>
  <c r="AR25" i="2"/>
  <c r="AB25" i="2"/>
  <c r="Y25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K10" i="2"/>
  <c r="J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10" i="2"/>
  <c r="AG25" i="2" l="1"/>
  <c r="AG27" i="2" s="1"/>
  <c r="AE25" i="2"/>
  <c r="AE27" i="2" s="1"/>
  <c r="AI25" i="2"/>
  <c r="AU25" i="2"/>
  <c r="D57" i="2"/>
  <c r="D56" i="2"/>
  <c r="D53" i="2"/>
  <c r="D51" i="2"/>
  <c r="D58" i="2"/>
  <c r="D52" i="2"/>
  <c r="F19" i="2"/>
  <c r="F20" i="2"/>
  <c r="F21" i="2"/>
  <c r="F22" i="2"/>
  <c r="F23" i="2"/>
  <c r="E19" i="2"/>
  <c r="E20" i="2"/>
  <c r="E21" i="2"/>
  <c r="E22" i="2"/>
  <c r="E23" i="2"/>
  <c r="E24" i="2"/>
  <c r="G25" i="2"/>
  <c r="C11" i="2"/>
  <c r="D11" i="2" s="1"/>
  <c r="H11" i="2" s="1"/>
  <c r="C12" i="2"/>
  <c r="D12" i="2" s="1"/>
  <c r="H12" i="2" s="1"/>
  <c r="C13" i="2"/>
  <c r="C14" i="2"/>
  <c r="D14" i="2" s="1"/>
  <c r="H14" i="2" s="1"/>
  <c r="C15" i="2"/>
  <c r="D15" i="2" s="1"/>
  <c r="H15" i="2" s="1"/>
  <c r="C16" i="2"/>
  <c r="D16" i="2" s="1"/>
  <c r="H16" i="2" s="1"/>
  <c r="C17" i="2"/>
  <c r="D17" i="2" s="1"/>
  <c r="H17" i="2" s="1"/>
  <c r="C18" i="2"/>
  <c r="D18" i="2" s="1"/>
  <c r="H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H24" i="2" s="1"/>
  <c r="C10" i="2"/>
  <c r="D10" i="2" s="1"/>
  <c r="H10" i="2" s="1"/>
  <c r="AI27" i="2" l="1"/>
  <c r="B16" i="3" s="1"/>
  <c r="AW24" i="2"/>
  <c r="BA24" i="2" s="1"/>
  <c r="AN24" i="2"/>
  <c r="AQ24" i="2" s="1"/>
  <c r="F24" i="2"/>
  <c r="E18" i="2"/>
  <c r="AQ23" i="2"/>
  <c r="AC23" i="2"/>
  <c r="Z23" i="2"/>
  <c r="AQ19" i="2"/>
  <c r="AC19" i="2"/>
  <c r="Z19" i="2"/>
  <c r="AQ22" i="2"/>
  <c r="Z22" i="2"/>
  <c r="AC22" i="2"/>
  <c r="AQ21" i="2"/>
  <c r="Z21" i="2"/>
  <c r="AC21" i="2"/>
  <c r="Z24" i="2"/>
  <c r="AA24" i="2" s="1"/>
  <c r="AC24" i="2"/>
  <c r="AD24" i="2" s="1"/>
  <c r="AQ20" i="2"/>
  <c r="Z20" i="2"/>
  <c r="AC20" i="2"/>
  <c r="AS26" i="2"/>
  <c r="AS27" i="2" s="1"/>
  <c r="G46" i="2" s="1"/>
  <c r="AT26" i="2"/>
  <c r="AT27" i="2" s="1"/>
  <c r="G47" i="2" s="1"/>
  <c r="AU26" i="2"/>
  <c r="AU27" i="2" s="1"/>
  <c r="G48" i="2" s="1"/>
  <c r="AR26" i="2"/>
  <c r="AR27" i="2" s="1"/>
  <c r="G45" i="2" s="1"/>
  <c r="AI26" i="2"/>
  <c r="E16" i="3"/>
  <c r="E17" i="2"/>
  <c r="AW17" i="2" s="1"/>
  <c r="BA17" i="2" s="1"/>
  <c r="AB26" i="2"/>
  <c r="AB27" i="2" s="1"/>
  <c r="Y26" i="2"/>
  <c r="Y27" i="2" s="1"/>
  <c r="E57" i="2"/>
  <c r="Q21" i="2" s="1"/>
  <c r="E53" i="2"/>
  <c r="Q9" i="2" s="1"/>
  <c r="E52" i="2"/>
  <c r="Q13" i="2" s="1"/>
  <c r="E58" i="2"/>
  <c r="Q23" i="2" s="1"/>
  <c r="E16" i="2"/>
  <c r="E15" i="2"/>
  <c r="E11" i="2"/>
  <c r="E51" i="2"/>
  <c r="Q16" i="2" s="1"/>
  <c r="E56" i="2"/>
  <c r="Q18" i="2" s="1"/>
  <c r="E14" i="2"/>
  <c r="AW14" i="2" s="1"/>
  <c r="BA14" i="2" s="1"/>
  <c r="E13" i="2"/>
  <c r="AW13" i="2" s="1"/>
  <c r="BA13" i="2" s="1"/>
  <c r="E10" i="2"/>
  <c r="AO10" i="2" s="1"/>
  <c r="E12" i="2"/>
  <c r="AW12" i="2" s="1"/>
  <c r="BA12" i="2" s="1"/>
  <c r="D13" i="2"/>
  <c r="H13" i="2" s="1"/>
  <c r="AO16" i="2" l="1"/>
  <c r="AQ16" i="2" s="1"/>
  <c r="AW16" i="2"/>
  <c r="BA16" i="2" s="1"/>
  <c r="AO15" i="2"/>
  <c r="AQ15" i="2" s="1"/>
  <c r="AW15" i="2"/>
  <c r="BA15" i="2" s="1"/>
  <c r="AW11" i="2"/>
  <c r="BA11" i="2" s="1"/>
  <c r="AP11" i="2"/>
  <c r="AP10" i="2"/>
  <c r="AW10" i="2"/>
  <c r="BA10" i="2" s="1"/>
  <c r="AN11" i="2"/>
  <c r="AO11" i="2"/>
  <c r="AN17" i="2"/>
  <c r="AO17" i="2"/>
  <c r="F18" i="2"/>
  <c r="AP18" i="2"/>
  <c r="AQ18" i="2" s="1"/>
  <c r="AN14" i="2"/>
  <c r="AO14" i="2"/>
  <c r="AO13" i="2"/>
  <c r="AP13" i="2"/>
  <c r="AC18" i="2"/>
  <c r="AD18" i="2" s="1"/>
  <c r="Z18" i="2"/>
  <c r="AA18" i="2" s="1"/>
  <c r="AN12" i="2"/>
  <c r="AP12" i="2"/>
  <c r="Z10" i="2"/>
  <c r="AC10" i="2"/>
  <c r="Z13" i="2"/>
  <c r="AA13" i="2" s="1"/>
  <c r="AC13" i="2"/>
  <c r="AD13" i="2" s="1"/>
  <c r="AC11" i="2"/>
  <c r="AD11" i="2" s="1"/>
  <c r="Z11" i="2"/>
  <c r="AA11" i="2" s="1"/>
  <c r="Z14" i="2"/>
  <c r="AA14" i="2" s="1"/>
  <c r="AC14" i="2"/>
  <c r="AD14" i="2" s="1"/>
  <c r="AC15" i="2"/>
  <c r="AD15" i="2" s="1"/>
  <c r="Z15" i="2"/>
  <c r="AA15" i="2" s="1"/>
  <c r="Z17" i="2"/>
  <c r="AA17" i="2" s="1"/>
  <c r="AC17" i="2"/>
  <c r="AD17" i="2" s="1"/>
  <c r="Z12" i="2"/>
  <c r="AA12" i="2" s="1"/>
  <c r="AC12" i="2"/>
  <c r="AD12" i="2" s="1"/>
  <c r="Z16" i="2"/>
  <c r="AA16" i="2" s="1"/>
  <c r="AC16" i="2"/>
  <c r="AD16" i="2" s="1"/>
  <c r="F12" i="2"/>
  <c r="AO12" i="2"/>
  <c r="F16" i="2"/>
  <c r="F10" i="2"/>
  <c r="AN10" i="2"/>
  <c r="F11" i="2"/>
  <c r="F14" i="2"/>
  <c r="F15" i="2"/>
  <c r="F17" i="2"/>
  <c r="F13" i="2"/>
  <c r="E25" i="2"/>
  <c r="AQ11" i="2" l="1"/>
  <c r="AQ17" i="2"/>
  <c r="AQ14" i="2"/>
  <c r="AP25" i="2"/>
  <c r="AQ13" i="2"/>
  <c r="AC25" i="2"/>
  <c r="AD10" i="2"/>
  <c r="AD25" i="2" s="1"/>
  <c r="AD27" i="2" s="1"/>
  <c r="Z25" i="2"/>
  <c r="AA10" i="2"/>
  <c r="AA25" i="2" s="1"/>
  <c r="AA27" i="2" s="1"/>
  <c r="AO25" i="2"/>
  <c r="AQ12" i="2"/>
  <c r="AQ26" i="2"/>
  <c r="AN26" i="2"/>
  <c r="AO26" i="2"/>
  <c r="AP26" i="2"/>
  <c r="AQ10" i="2"/>
  <c r="AN25" i="2"/>
  <c r="F25" i="2"/>
  <c r="H25" i="2"/>
  <c r="B15" i="3" l="1"/>
  <c r="C10" i="3" s="1"/>
  <c r="C12" i="3" s="1"/>
  <c r="AN27" i="2"/>
  <c r="F45" i="2" s="1"/>
  <c r="D45" i="2" s="1"/>
  <c r="E45" i="2" s="1"/>
  <c r="AP27" i="2"/>
  <c r="F47" i="2" s="1"/>
  <c r="D47" i="2" s="1"/>
  <c r="E47" i="2" s="1"/>
  <c r="E15" i="3"/>
  <c r="F10" i="3" s="1"/>
  <c r="F12" i="3" s="1"/>
  <c r="AQ25" i="2"/>
  <c r="AQ27" i="2" s="1"/>
  <c r="F48" i="2" s="1"/>
  <c r="D48" i="2" s="1"/>
  <c r="E48" i="2" s="1"/>
  <c r="AO27" i="2"/>
  <c r="F46" i="2" s="1"/>
  <c r="D46" i="2" s="1"/>
  <c r="E46" i="2" s="1"/>
</calcChain>
</file>

<file path=xl/sharedStrings.xml><?xml version="1.0" encoding="utf-8"?>
<sst xmlns="http://schemas.openxmlformats.org/spreadsheetml/2006/main" count="186" uniqueCount="115">
  <si>
    <t>Couvert</t>
  </si>
  <si>
    <t>Type</t>
  </si>
  <si>
    <t>Hauteur</t>
  </si>
  <si>
    <t>Racine</t>
  </si>
  <si>
    <t>Biomasse</t>
  </si>
  <si>
    <t>Coût</t>
  </si>
  <si>
    <t>Avoine de printemps</t>
  </si>
  <si>
    <t>Avoine d'hiver</t>
  </si>
  <si>
    <t>Avoine bresilienne</t>
  </si>
  <si>
    <t>graminée</t>
  </si>
  <si>
    <t>Moha fourrager</t>
  </si>
  <si>
    <t>Seigle fourrager</t>
  </si>
  <si>
    <t>Seigle forestier</t>
  </si>
  <si>
    <t>Sorgho fourrager</t>
  </si>
  <si>
    <t>Ray-grass Italien</t>
  </si>
  <si>
    <t>Moutarde blanche</t>
  </si>
  <si>
    <t>Moutarde brune</t>
  </si>
  <si>
    <t>Moutarde d'Abyssinie</t>
  </si>
  <si>
    <t>Dose/ha</t>
  </si>
  <si>
    <t>Radis chinois</t>
  </si>
  <si>
    <t>Cameline</t>
  </si>
  <si>
    <t>Radis fourrager</t>
  </si>
  <si>
    <t>Colza</t>
  </si>
  <si>
    <t>Féverole</t>
  </si>
  <si>
    <t>Pois fourrager</t>
  </si>
  <si>
    <t>Gesse</t>
  </si>
  <si>
    <t>Trèfle d'Alexandrie</t>
  </si>
  <si>
    <t>Trèfle violet</t>
  </si>
  <si>
    <t>Trèfle incarnat</t>
  </si>
  <si>
    <t>Fénugrec</t>
  </si>
  <si>
    <t>Lentille fourragère</t>
  </si>
  <si>
    <t>Pois protéagineux</t>
  </si>
  <si>
    <t>Vesce commune</t>
  </si>
  <si>
    <t>Vesce velue</t>
  </si>
  <si>
    <t>Vesce pourpre</t>
  </si>
  <si>
    <t>Légumineuse</t>
  </si>
  <si>
    <t>Crucifère</t>
  </si>
  <si>
    <t>Tournesol</t>
  </si>
  <si>
    <t>Niger</t>
  </si>
  <si>
    <t>Sarrasin</t>
  </si>
  <si>
    <t>Phacélie</t>
  </si>
  <si>
    <t>Lin</t>
  </si>
  <si>
    <t>Composée</t>
  </si>
  <si>
    <t>Polygonacée</t>
  </si>
  <si>
    <t>Hydrophyllacée</t>
  </si>
  <si>
    <t>Linacée</t>
  </si>
  <si>
    <t>Piégeage N</t>
  </si>
  <si>
    <t>Fourniture N</t>
  </si>
  <si>
    <t>TOTAL</t>
  </si>
  <si>
    <t>Coût (€/ha)</t>
  </si>
  <si>
    <t>Dose unitaire (kg/ha)</t>
  </si>
  <si>
    <t>Dose conseillée (kg/ha)</t>
  </si>
  <si>
    <t>Dose ajustée (kg/ha)</t>
  </si>
  <si>
    <t>DOSE CONSEILLEE</t>
  </si>
  <si>
    <t>REFERENCES</t>
  </si>
  <si>
    <t>AJUSTER VOS DOSES</t>
  </si>
  <si>
    <t>CHOISIR SES COUVERTS</t>
  </si>
  <si>
    <t>Légumineuses</t>
  </si>
  <si>
    <t>Autres</t>
  </si>
  <si>
    <t>NB</t>
  </si>
  <si>
    <t>%</t>
  </si>
  <si>
    <t>TYPE</t>
  </si>
  <si>
    <t>HAUTEUR</t>
  </si>
  <si>
    <t>Basse</t>
  </si>
  <si>
    <t>Intermédiaire</t>
  </si>
  <si>
    <t>Haute</t>
  </si>
  <si>
    <t>RACINES</t>
  </si>
  <si>
    <t>Superficiel</t>
  </si>
  <si>
    <t>Profonde</t>
  </si>
  <si>
    <t>Graminées</t>
  </si>
  <si>
    <t>Crucifères</t>
  </si>
  <si>
    <t>verte</t>
  </si>
  <si>
    <t>orange</t>
  </si>
  <si>
    <t>rouge</t>
  </si>
  <si>
    <t>invisible</t>
  </si>
  <si>
    <t>Aiguille</t>
  </si>
  <si>
    <t>Largeur</t>
  </si>
  <si>
    <t>Invisible</t>
  </si>
  <si>
    <t>AZOTE</t>
  </si>
  <si>
    <t>COMPLEMENTARITE DES COUVERTS</t>
  </si>
  <si>
    <t>INDICATEURS TECHNIQUES DU MELANGE CHOISIS</t>
  </si>
  <si>
    <t>Total</t>
  </si>
  <si>
    <t>Maximum</t>
  </si>
  <si>
    <t>BIOMASSE</t>
  </si>
  <si>
    <t>Conseillé Azote</t>
  </si>
  <si>
    <t>Conseillé Biomasse</t>
  </si>
  <si>
    <t>Ajusté Biomasse</t>
  </si>
  <si>
    <t>Ajustée Azote</t>
  </si>
  <si>
    <t>Ajusté max</t>
  </si>
  <si>
    <t>NB conseillé</t>
  </si>
  <si>
    <t>NB Ajusté</t>
  </si>
  <si>
    <t>Legumineuse</t>
  </si>
  <si>
    <t>Conseillé</t>
  </si>
  <si>
    <t>Ajusté</t>
  </si>
  <si>
    <t>SOMME</t>
  </si>
  <si>
    <t>Dose</t>
  </si>
  <si>
    <t>Note</t>
  </si>
  <si>
    <t>PMG</t>
  </si>
  <si>
    <t>PMG (g)</t>
  </si>
  <si>
    <t>NB pieds Conseillé</t>
  </si>
  <si>
    <t>NB ajusté</t>
  </si>
  <si>
    <t>NB Pieds</t>
  </si>
  <si>
    <t xml:space="preserve">Aide à la création de mélanges de couverts végétaux </t>
  </si>
  <si>
    <t>Coût unitaire (€/kg)</t>
  </si>
  <si>
    <t>Millet perlé</t>
  </si>
  <si>
    <t>Graminée</t>
  </si>
  <si>
    <t>Trèfle de Micheli</t>
  </si>
  <si>
    <t>Trèfle de perse</t>
  </si>
  <si>
    <t>Lotier Corniculé</t>
  </si>
  <si>
    <t>Minette</t>
  </si>
  <si>
    <t>Luzerne Flamande</t>
  </si>
  <si>
    <t>Trèfle Blanc</t>
  </si>
  <si>
    <t>Mélilot</t>
  </si>
  <si>
    <t>Sainfoin (cosse)</t>
  </si>
  <si>
    <t>Sainfoin (décortiqué)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</si>
</sst>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28"/>
      <color theme="6" tint="-0.249977111117893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5" borderId="0" xfId="0" applyFill="1" applyBorder="1"/>
    <xf numFmtId="0" fontId="6" fillId="5" borderId="0" xfId="0" applyFont="1" applyFill="1"/>
    <xf numFmtId="1" fontId="6" fillId="5" borderId="0" xfId="0" applyNumberFormat="1" applyFont="1" applyFill="1"/>
    <xf numFmtId="0" fontId="13" fillId="5" borderId="0" xfId="0" applyFont="1" applyFill="1" applyAlignment="1" applyProtection="1">
      <alignment horizontal="center"/>
      <protection hidden="1"/>
    </xf>
    <xf numFmtId="0" fontId="13" fillId="5" borderId="0" xfId="0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6" fillId="5" borderId="0" xfId="0" applyFont="1" applyFill="1" applyProtection="1">
      <protection hidden="1"/>
    </xf>
    <xf numFmtId="0" fontId="13" fillId="5" borderId="14" xfId="0" applyFont="1" applyFill="1" applyBorder="1" applyAlignment="1" applyProtection="1">
      <alignment horizontal="center"/>
      <protection hidden="1"/>
    </xf>
    <xf numFmtId="0" fontId="6" fillId="5" borderId="14" xfId="0" applyFont="1" applyFill="1" applyBorder="1" applyAlignment="1" applyProtection="1">
      <alignment horizontal="center"/>
      <protection hidden="1"/>
    </xf>
    <xf numFmtId="0" fontId="13" fillId="5" borderId="13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Protection="1">
      <protection hidden="1"/>
    </xf>
    <xf numFmtId="0" fontId="13" fillId="9" borderId="0" xfId="0" applyFont="1" applyFill="1" applyBorder="1" applyAlignment="1" applyProtection="1">
      <alignment horizontal="center"/>
      <protection hidden="1"/>
    </xf>
    <xf numFmtId="0" fontId="6" fillId="9" borderId="0" xfId="0" applyFont="1" applyFill="1" applyProtection="1">
      <protection hidden="1"/>
    </xf>
    <xf numFmtId="0" fontId="13" fillId="9" borderId="13" xfId="0" applyFont="1" applyFill="1" applyBorder="1" applyAlignment="1" applyProtection="1">
      <alignment horizontal="center"/>
      <protection hidden="1"/>
    </xf>
    <xf numFmtId="0" fontId="0" fillId="5" borderId="0" xfId="0" applyFont="1" applyFill="1" applyAlignment="1" applyProtection="1">
      <alignment horizontal="center"/>
      <protection hidden="1"/>
    </xf>
    <xf numFmtId="0" fontId="0" fillId="5" borderId="13" xfId="0" applyFont="1" applyFill="1" applyBorder="1" applyAlignment="1" applyProtection="1">
      <alignment horizontal="center"/>
      <protection hidden="1"/>
    </xf>
    <xf numFmtId="0" fontId="0" fillId="9" borderId="0" xfId="0" applyFont="1" applyFill="1" applyBorder="1" applyAlignment="1" applyProtection="1">
      <alignment horizontal="center"/>
      <protection hidden="1"/>
    </xf>
    <xf numFmtId="0" fontId="0" fillId="9" borderId="13" xfId="0" applyFont="1" applyFill="1" applyBorder="1" applyAlignment="1" applyProtection="1">
      <alignment horizontal="center"/>
      <protection hidden="1"/>
    </xf>
    <xf numFmtId="0" fontId="0" fillId="5" borderId="14" xfId="0" applyFont="1" applyFill="1" applyBorder="1" applyAlignment="1" applyProtection="1">
      <alignment horizontal="center"/>
      <protection hidden="1"/>
    </xf>
    <xf numFmtId="0" fontId="0" fillId="5" borderId="0" xfId="0" applyFont="1" applyFill="1" applyProtection="1">
      <protection hidden="1"/>
    </xf>
    <xf numFmtId="0" fontId="0" fillId="5" borderId="0" xfId="0" applyFont="1" applyFill="1" applyBorder="1" applyProtection="1">
      <protection hidden="1"/>
    </xf>
    <xf numFmtId="0" fontId="0" fillId="9" borderId="0" xfId="0" applyFont="1" applyFill="1" applyProtection="1">
      <protection hidden="1"/>
    </xf>
    <xf numFmtId="0" fontId="6" fillId="5" borderId="0" xfId="0" applyFont="1" applyFill="1" applyBorder="1" applyAlignment="1" applyProtection="1">
      <alignment horizontal="center"/>
      <protection hidden="1"/>
    </xf>
    <xf numFmtId="0" fontId="13" fillId="5" borderId="8" xfId="0" applyFont="1" applyFill="1" applyBorder="1" applyAlignment="1" applyProtection="1">
      <alignment horizontal="center"/>
      <protection hidden="1"/>
    </xf>
    <xf numFmtId="0" fontId="13" fillId="9" borderId="8" xfId="0" applyFont="1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6" fillId="5" borderId="0" xfId="0" applyFont="1" applyFill="1" applyBorder="1" applyProtection="1"/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/>
    </xf>
    <xf numFmtId="164" fontId="0" fillId="2" borderId="2" xfId="0" applyNumberFormat="1" applyFill="1" applyBorder="1" applyAlignment="1" applyProtection="1">
      <alignment horizontal="center"/>
    </xf>
    <xf numFmtId="164" fontId="0" fillId="2" borderId="5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164" fontId="0" fillId="3" borderId="5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164" fontId="0" fillId="2" borderId="3" xfId="0" applyNumberFormat="1" applyFill="1" applyBorder="1" applyAlignment="1" applyProtection="1">
      <alignment horizontal="center"/>
    </xf>
    <xf numFmtId="164" fontId="0" fillId="2" borderId="6" xfId="0" applyNumberForma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10" fillId="4" borderId="0" xfId="0" applyFont="1" applyFill="1" applyAlignment="1" applyProtection="1">
      <alignment horizontal="center"/>
    </xf>
    <xf numFmtId="164" fontId="5" fillId="4" borderId="0" xfId="0" applyNumberFormat="1" applyFont="1" applyFill="1" applyAlignment="1" applyProtection="1">
      <alignment horizontal="center"/>
    </xf>
    <xf numFmtId="164" fontId="10" fillId="4" borderId="0" xfId="0" applyNumberFormat="1" applyFont="1" applyFill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 vertical="center" wrapText="1"/>
    </xf>
    <xf numFmtId="1" fontId="4" fillId="6" borderId="8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/>
    </xf>
    <xf numFmtId="1" fontId="4" fillId="6" borderId="8" xfId="0" applyNumberFormat="1" applyFont="1" applyFill="1" applyBorder="1" applyAlignment="1" applyProtection="1">
      <alignment horizontal="center"/>
    </xf>
    <xf numFmtId="1" fontId="4" fillId="7" borderId="8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6" fillId="5" borderId="0" xfId="0" applyFont="1" applyFill="1" applyProtection="1"/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/>
    </xf>
    <xf numFmtId="1" fontId="6" fillId="5" borderId="0" xfId="0" applyNumberFormat="1" applyFont="1" applyFill="1" applyBorder="1" applyAlignment="1" applyProtection="1">
      <alignment horizontal="center"/>
    </xf>
    <xf numFmtId="1" fontId="6" fillId="5" borderId="0" xfId="0" applyNumberFormat="1" applyFont="1" applyFill="1" applyProtection="1"/>
    <xf numFmtId="164" fontId="6" fillId="5" borderId="0" xfId="0" applyNumberFormat="1" applyFont="1" applyFill="1" applyProtection="1"/>
    <xf numFmtId="0" fontId="1" fillId="0" borderId="0" xfId="0" applyFont="1" applyProtection="1"/>
    <xf numFmtId="1" fontId="2" fillId="0" borderId="0" xfId="0" applyNumberFormat="1" applyFont="1" applyAlignment="1" applyProtection="1">
      <alignment horizontal="center"/>
    </xf>
    <xf numFmtId="1" fontId="0" fillId="0" borderId="0" xfId="0" applyNumberFormat="1" applyProtection="1"/>
    <xf numFmtId="0" fontId="2" fillId="0" borderId="0" xfId="0" applyFont="1" applyAlignment="1" applyProtection="1">
      <alignment horizontal="center"/>
    </xf>
    <xf numFmtId="0" fontId="0" fillId="5" borderId="9" xfId="0" applyFill="1" applyBorder="1" applyProtection="1"/>
    <xf numFmtId="0" fontId="0" fillId="5" borderId="10" xfId="0" applyFill="1" applyBorder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164" fontId="5" fillId="4" borderId="0" xfId="0" applyNumberFormat="1" applyFont="1" applyFill="1" applyAlignment="1" applyProtection="1">
      <alignment horizontal="center"/>
      <protection locked="0"/>
    </xf>
    <xf numFmtId="164" fontId="10" fillId="4" borderId="0" xfId="0" applyNumberFormat="1" applyFont="1" applyFill="1" applyAlignment="1" applyProtection="1">
      <alignment horizontal="center"/>
      <protection locked="0"/>
    </xf>
    <xf numFmtId="0" fontId="12" fillId="5" borderId="0" xfId="0" applyFont="1" applyFill="1" applyBorder="1" applyAlignment="1">
      <alignment horizontal="center" vertical="center"/>
    </xf>
    <xf numFmtId="0" fontId="9" fillId="8" borderId="9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46458338956642"/>
          <c:y val="0.18928004291017159"/>
          <c:w val="0.72576850084279843"/>
          <c:h val="0.54522837482088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'Simulateur Couverts'!$E$44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49-49DE-8954-1B4CB950F874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4949-49DE-8954-1B4CB950F8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949-49DE-8954-1B4CB950F87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'Simulateur Couverts'!$C$45:$C$48</c:f>
              <c:strCache>
                <c:ptCount val="4"/>
                <c:pt idx="0">
                  <c:v>Graminées</c:v>
                </c:pt>
                <c:pt idx="1">
                  <c:v>Légumineuses</c:v>
                </c:pt>
                <c:pt idx="2">
                  <c:v>Crucifères</c:v>
                </c:pt>
                <c:pt idx="3">
                  <c:v>Autres</c:v>
                </c:pt>
              </c:strCache>
            </c:strRef>
          </c:cat>
          <c:val>
            <c:numRef>
              <c:f>'Simulateur Couverts'!$E$45:$E$48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9-49DE-8954-1B4CB950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93472"/>
        <c:axId val="81595008"/>
      </c:barChart>
      <c:catAx>
        <c:axId val="8159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595008"/>
        <c:crosses val="autoZero"/>
        <c:auto val="1"/>
        <c:lblAlgn val="ctr"/>
        <c:lblOffset val="100"/>
        <c:noMultiLvlLbl val="0"/>
      </c:catAx>
      <c:valAx>
        <c:axId val="81595008"/>
        <c:scaling>
          <c:orientation val="minMax"/>
          <c:max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Pourcentage (%)</a:t>
                </a:r>
              </a:p>
            </c:rich>
          </c:tx>
          <c:layout>
            <c:manualLayout>
              <c:xMode val="edge"/>
              <c:yMode val="edge"/>
              <c:x val="2.381892685687156E-2"/>
              <c:y val="0.3275217228565529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prstDash val="solid"/>
          </a:ln>
        </c:spPr>
        <c:crossAx val="8159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EFFET AZOTE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5998654080405652E-2"/>
          <c:y val="0.1508495833993905"/>
          <c:w val="0.9147521656002775"/>
          <c:h val="0.61776427275449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61D-44AD-BE48-8D2C7927BB3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261D-44AD-BE48-8D2C7927BB3B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261D-44AD-BE48-8D2C7927BB3B}"/>
              </c:ext>
            </c:extLst>
          </c:dPt>
          <c:val>
            <c:numRef>
              <c:f>Feuil3!$C$4:$C$7</c:f>
              <c:numCache>
                <c:formatCode>General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1D-44AD-BE48-8D2C7927B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261D-44AD-BE48-8D2C7927BB3B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A-261D-44AD-BE48-8D2C7927BB3B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261D-44AD-BE48-8D2C7927BB3B}"/>
              </c:ext>
            </c:extLst>
          </c:dPt>
          <c:val>
            <c:numRef>
              <c:f>Feuil3!$C$10:$C$12</c:f>
              <c:numCache>
                <c:formatCode>General</c:formatCode>
                <c:ptCount val="3"/>
                <c:pt idx="0" formatCode="0">
                  <c:v>0</c:v>
                </c:pt>
                <c:pt idx="1">
                  <c:v>2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61D-44AD-BE48-8D2C7927B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PRODUCTION</a:t>
            </a:r>
          </a:p>
          <a:p>
            <a:pPr>
              <a:defRPr/>
            </a:pPr>
            <a:r>
              <a:rPr lang="fr-FR"/>
              <a:t>BIOMASSE</a:t>
            </a:r>
          </a:p>
        </c:rich>
      </c:tx>
      <c:layout>
        <c:manualLayout>
          <c:xMode val="edge"/>
          <c:yMode val="edge"/>
          <c:x val="0.221032148934945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0557942445902"/>
          <c:y val="0.22724840031395666"/>
          <c:w val="0.79946685630194758"/>
          <c:h val="0.835553989851444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E63-4618-908F-C41A1BECDC2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4E63-4618-908F-C41A1BECDC26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63-4618-908F-C41A1BECDC26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4E63-4618-908F-C41A1BECDC26}"/>
              </c:ext>
            </c:extLst>
          </c:dPt>
          <c:val>
            <c:numRef>
              <c:f>Feuil3!$F$4:$F$7</c:f>
              <c:numCache>
                <c:formatCode>General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63-4618-908F-C41A1BECD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4E63-4618-908F-C41A1BECDC26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4E63-4618-908F-C41A1BECDC26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4E63-4618-908F-C41A1BECDC26}"/>
              </c:ext>
            </c:extLst>
          </c:dPt>
          <c:val>
            <c:numRef>
              <c:f>Feuil3!$F$10:$F$12</c:f>
              <c:numCache>
                <c:formatCode>General</c:formatCode>
                <c:ptCount val="3"/>
                <c:pt idx="0" formatCode="0">
                  <c:v>0</c:v>
                </c:pt>
                <c:pt idx="1">
                  <c:v>2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E63-4618-908F-C41A1BECD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83231262758819"/>
          <c:y val="0.22644139401747063"/>
          <c:w val="0.37735316418780984"/>
          <c:h val="0.643920093912189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'Simulateur Couverts'!$BA$9</c:f>
              <c:strCache>
                <c:ptCount val="1"/>
                <c:pt idx="0">
                  <c:v>NB Pieds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'Simulateur Couverts'!$AZ$10:$AZ$24</c:f>
            </c:strRef>
          </c:cat>
          <c:val>
            <c:numRef>
              <c:f>'Simulateur Couverts'!$BA$10:$BA$24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7-40C4-8CD4-1A7B6E90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16640"/>
        <c:axId val="79218176"/>
      </c:barChart>
      <c:catAx>
        <c:axId val="7921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-2640000"/>
          <a:lstStyle/>
          <a:p>
            <a:pPr>
              <a:defRPr/>
            </a:pPr>
            <a:endParaRPr lang="fr-FR"/>
          </a:p>
        </c:txPr>
        <c:crossAx val="79218176"/>
        <c:crosses val="autoZero"/>
        <c:auto val="1"/>
        <c:lblAlgn val="ctr"/>
        <c:lblOffset val="100"/>
        <c:noMultiLvlLbl val="0"/>
      </c:catAx>
      <c:valAx>
        <c:axId val="792181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7921664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Y$28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85724</xdr:rowOff>
    </xdr:from>
    <xdr:to>
      <xdr:col>1</xdr:col>
      <xdr:colOff>638175</xdr:colOff>
      <xdr:row>6</xdr:row>
      <xdr:rowOff>107177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4"/>
          <a:ext cx="1247775" cy="1421628"/>
        </a:xfrm>
        <a:prstGeom prst="rect">
          <a:avLst/>
        </a:prstGeom>
      </xdr:spPr>
    </xdr:pic>
    <xdr:clientData/>
  </xdr:twoCellAnchor>
  <xdr:twoCellAnchor editAs="oneCell">
    <xdr:from>
      <xdr:col>14</xdr:col>
      <xdr:colOff>63474</xdr:colOff>
      <xdr:row>0</xdr:row>
      <xdr:rowOff>85725</xdr:rowOff>
    </xdr:from>
    <xdr:to>
      <xdr:col>16</xdr:col>
      <xdr:colOff>499302</xdr:colOff>
      <xdr:row>4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3349" y="85725"/>
          <a:ext cx="1959828" cy="10287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9</xdr:row>
      <xdr:rowOff>123825</xdr:rowOff>
    </xdr:from>
    <xdr:to>
      <xdr:col>3</xdr:col>
      <xdr:colOff>0</xdr:colOff>
      <xdr:row>22</xdr:row>
      <xdr:rowOff>180975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4800" y="2095500"/>
          <a:ext cx="1914525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1 ère étape</a:t>
          </a:r>
          <a:r>
            <a:rPr lang="fr-FR" sz="1100" b="1" u="sng" baseline="0"/>
            <a:t> </a:t>
          </a:r>
          <a:r>
            <a:rPr lang="fr-FR" sz="1100" baseline="0"/>
            <a:t>: séléctionner les couverts composant votre mélange.</a:t>
          </a:r>
        </a:p>
        <a:p>
          <a:endParaRPr lang="fr-FR" sz="1100" baseline="0"/>
        </a:p>
        <a:p>
          <a:r>
            <a:rPr lang="fr-FR" sz="1100" baseline="0"/>
            <a:t>Dans la colonne "Références", le tableur vous rappelle les doses en pure et le coût (€/kg).</a:t>
          </a:r>
        </a:p>
        <a:p>
          <a:endParaRPr lang="fr-FR" sz="1100" baseline="0"/>
        </a:p>
        <a:p>
          <a:r>
            <a:rPr lang="fr-FR" sz="1100" baseline="0"/>
            <a:t>Dans la colonne "Dose conseillée", le tableur vous fait une proposition de dose pour chaque espèce du mélange.</a:t>
          </a:r>
          <a:endParaRPr lang="fr-FR" sz="1100"/>
        </a:p>
      </xdr:txBody>
    </xdr:sp>
    <xdr:clientData/>
  </xdr:twoCellAnchor>
  <xdr:twoCellAnchor editAs="oneCell">
    <xdr:from>
      <xdr:col>3</xdr:col>
      <xdr:colOff>285750</xdr:colOff>
      <xdr:row>7</xdr:row>
      <xdr:rowOff>75239</xdr:rowOff>
    </xdr:from>
    <xdr:to>
      <xdr:col>13</xdr:col>
      <xdr:colOff>461146</xdr:colOff>
      <xdr:row>23</xdr:row>
      <xdr:rowOff>19050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075" y="1665914"/>
          <a:ext cx="7795396" cy="29918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561975</xdr:colOff>
      <xdr:row>11</xdr:row>
      <xdr:rowOff>28575</xdr:rowOff>
    </xdr:from>
    <xdr:to>
      <xdr:col>3</xdr:col>
      <xdr:colOff>409575</xdr:colOff>
      <xdr:row>13</xdr:row>
      <xdr:rowOff>180975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019300" y="2381250"/>
          <a:ext cx="609600" cy="533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16</xdr:row>
      <xdr:rowOff>95250</xdr:rowOff>
    </xdr:from>
    <xdr:to>
      <xdr:col>5</xdr:col>
      <xdr:colOff>114300</xdr:colOff>
      <xdr:row>16</xdr:row>
      <xdr:rowOff>133350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95425" y="3400425"/>
          <a:ext cx="2362200" cy="381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16</xdr:row>
      <xdr:rowOff>180975</xdr:rowOff>
    </xdr:from>
    <xdr:to>
      <xdr:col>6</xdr:col>
      <xdr:colOff>66675</xdr:colOff>
      <xdr:row>21</xdr:row>
      <xdr:rowOff>19050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838325" y="3486150"/>
          <a:ext cx="2733675" cy="79057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3</xdr:row>
      <xdr:rowOff>104775</xdr:rowOff>
    </xdr:from>
    <xdr:to>
      <xdr:col>7</xdr:col>
      <xdr:colOff>666749</xdr:colOff>
      <xdr:row>6</xdr:row>
      <xdr:rowOff>180974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95525" y="933450"/>
          <a:ext cx="3638549" cy="6476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2 ème étape</a:t>
          </a:r>
          <a:r>
            <a:rPr lang="fr-FR" sz="1100" b="1" u="sng" baseline="0"/>
            <a:t> </a:t>
          </a:r>
          <a:r>
            <a:rPr lang="fr-FR" sz="1100" baseline="0"/>
            <a:t>: Si vous le souhaitez, dans la colonne "Ajuster vos doses", vous pouvez modifier les doses conseillées en fonction de vos types de sols, rotation, objectifs, ...</a:t>
          </a:r>
          <a:endParaRPr lang="fr-FR" sz="1100"/>
        </a:p>
      </xdr:txBody>
    </xdr:sp>
    <xdr:clientData/>
  </xdr:twoCellAnchor>
  <xdr:twoCellAnchor>
    <xdr:from>
      <xdr:col>7</xdr:col>
      <xdr:colOff>161925</xdr:colOff>
      <xdr:row>6</xdr:row>
      <xdr:rowOff>152400</xdr:rowOff>
    </xdr:from>
    <xdr:to>
      <xdr:col>7</xdr:col>
      <xdr:colOff>390525</xdr:colOff>
      <xdr:row>11</xdr:row>
      <xdr:rowOff>114300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429250" y="1552575"/>
          <a:ext cx="228600" cy="914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6</xdr:row>
      <xdr:rowOff>19050</xdr:rowOff>
    </xdr:from>
    <xdr:to>
      <xdr:col>13</xdr:col>
      <xdr:colOff>600077</xdr:colOff>
      <xdr:row>9</xdr:row>
      <xdr:rowOff>171450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7686675" y="1419225"/>
          <a:ext cx="2752727" cy="7239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21</xdr:row>
      <xdr:rowOff>0</xdr:rowOff>
    </xdr:from>
    <xdr:to>
      <xdr:col>10</xdr:col>
      <xdr:colOff>485775</xdr:colOff>
      <xdr:row>23</xdr:row>
      <xdr:rowOff>14288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stCxn id="27" idx="1"/>
        </xdr:cNvCxnSpPr>
      </xdr:nvCxnSpPr>
      <xdr:spPr>
        <a:xfrm flipH="1" flipV="1">
          <a:off x="7010400" y="4257675"/>
          <a:ext cx="1028700" cy="395288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542925</xdr:colOff>
      <xdr:row>5</xdr:row>
      <xdr:rowOff>57149</xdr:rowOff>
    </xdr:from>
    <xdr:to>
      <xdr:col>16</xdr:col>
      <xdr:colOff>457200</xdr:colOff>
      <xdr:row>20</xdr:row>
      <xdr:rowOff>57150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382250" y="1266824"/>
          <a:ext cx="2076450" cy="28575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3 ème étape</a:t>
          </a:r>
          <a:r>
            <a:rPr lang="fr-FR" sz="1100" b="1" u="sng" baseline="0"/>
            <a:t> </a:t>
          </a:r>
          <a:r>
            <a:rPr lang="fr-FR" sz="1100" baseline="0"/>
            <a:t>: En fonction de votre mélange, le tableur va vous permettre de visualiser plusieurs paramètres :</a:t>
          </a:r>
        </a:p>
        <a:p>
          <a:r>
            <a:rPr lang="fr-FR" sz="1100" baseline="0"/>
            <a:t>- la répartition des espèces dans le mélange,</a:t>
          </a:r>
        </a:p>
        <a:p>
          <a:r>
            <a:rPr lang="fr-FR" sz="1100" baseline="0"/>
            <a:t>- la densité de pieds de chacune des espèces,</a:t>
          </a:r>
        </a:p>
        <a:p>
          <a:r>
            <a:rPr lang="fr-FR" sz="1100" baseline="0"/>
            <a:t>- la complémentarité des espèces (% de plantes hautes pour le rôle de tuteur, % de plante à biomasse intermédiare, % de plante basse pour "boucher les trous"). Idem sur la complémentarité des systèmes racinaires.</a:t>
          </a:r>
          <a:endParaRPr lang="fr-FR" sz="1100"/>
        </a:p>
      </xdr:txBody>
    </xdr:sp>
    <xdr:clientData/>
  </xdr:twoCellAnchor>
  <xdr:twoCellAnchor>
    <xdr:from>
      <xdr:col>12</xdr:col>
      <xdr:colOff>352425</xdr:colOff>
      <xdr:row>6</xdr:row>
      <xdr:rowOff>47625</xdr:rowOff>
    </xdr:from>
    <xdr:to>
      <xdr:col>13</xdr:col>
      <xdr:colOff>542926</xdr:colOff>
      <xdr:row>9</xdr:row>
      <xdr:rowOff>38100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9429750" y="1447800"/>
          <a:ext cx="952501" cy="561975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485775</xdr:colOff>
      <xdr:row>21</xdr:row>
      <xdr:rowOff>152400</xdr:rowOff>
    </xdr:from>
    <xdr:to>
      <xdr:col>16</xdr:col>
      <xdr:colOff>457200</xdr:colOff>
      <xdr:row>24</xdr:row>
      <xdr:rowOff>66675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039100" y="4410075"/>
          <a:ext cx="44196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u="none"/>
            <a:t>A titre indicatif,</a:t>
          </a:r>
          <a:r>
            <a:rPr lang="fr-FR" sz="1100" b="0" u="none" baseline="0"/>
            <a:t> le tableur vous donne des tendances de production d'azote ou de biomasse.</a:t>
          </a:r>
          <a:endParaRPr lang="fr-FR" sz="1100" b="0" u="none"/>
        </a:p>
      </xdr:txBody>
    </xdr:sp>
    <xdr:clientData/>
  </xdr:twoCellAnchor>
  <xdr:twoCellAnchor>
    <xdr:from>
      <xdr:col>3</xdr:col>
      <xdr:colOff>66675</xdr:colOff>
      <xdr:row>22</xdr:row>
      <xdr:rowOff>76200</xdr:rowOff>
    </xdr:from>
    <xdr:to>
      <xdr:col>7</xdr:col>
      <xdr:colOff>733425</xdr:colOff>
      <xdr:row>23</xdr:row>
      <xdr:rowOff>171450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86000" y="4524375"/>
          <a:ext cx="37147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u="none"/>
            <a:t>Coût et quantité par espèce</a:t>
          </a:r>
          <a:r>
            <a:rPr lang="fr-FR" sz="1100" b="0" u="none" baseline="0"/>
            <a:t> et pour la totalité du mélange.</a:t>
          </a:r>
          <a:endParaRPr lang="fr-FR" sz="1100" b="0" u="none"/>
        </a:p>
      </xdr:txBody>
    </xdr:sp>
    <xdr:clientData/>
  </xdr:twoCellAnchor>
  <xdr:twoCellAnchor>
    <xdr:from>
      <xdr:col>4</xdr:col>
      <xdr:colOff>647700</xdr:colOff>
      <xdr:row>22</xdr:row>
      <xdr:rowOff>9525</xdr:rowOff>
    </xdr:from>
    <xdr:to>
      <xdr:col>5</xdr:col>
      <xdr:colOff>171450</xdr:colOff>
      <xdr:row>22</xdr:row>
      <xdr:rowOff>104775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3629025" y="4457700"/>
          <a:ext cx="285750" cy="9525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3</xdr:row>
      <xdr:rowOff>19050</xdr:rowOff>
    </xdr:from>
    <xdr:to>
      <xdr:col>12</xdr:col>
      <xdr:colOff>390526</xdr:colOff>
      <xdr:row>6</xdr:row>
      <xdr:rowOff>95249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076951" y="847725"/>
          <a:ext cx="3390900" cy="6476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none">
              <a:solidFill>
                <a:srgbClr val="FF0000"/>
              </a:solidFill>
            </a:rPr>
            <a:t>Par</a:t>
          </a:r>
          <a:r>
            <a:rPr lang="fr-FR" sz="1100" b="1" u="none" baseline="0">
              <a:solidFill>
                <a:srgbClr val="FF0000"/>
              </a:solidFill>
            </a:rPr>
            <a:t> défaut, le s graphiques correspondent au mélange conseillé. </a:t>
          </a:r>
          <a:r>
            <a:rPr lang="fr-FR" sz="1100" b="1" u="none">
              <a:solidFill>
                <a:srgbClr val="FF0000"/>
              </a:solidFill>
            </a:rPr>
            <a:t>Pour visualiser les indicateurs du</a:t>
          </a:r>
          <a:r>
            <a:rPr lang="fr-FR" sz="1100" b="1" u="none" baseline="0">
              <a:solidFill>
                <a:srgbClr val="FF0000"/>
              </a:solidFill>
            </a:rPr>
            <a:t> mélange que vous avez ajusté, cocher la case "mélange ajusté".</a:t>
          </a:r>
          <a:endParaRPr lang="fr-FR" sz="1100" u="none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66676</xdr:colOff>
      <xdr:row>6</xdr:row>
      <xdr:rowOff>95250</xdr:rowOff>
    </xdr:from>
    <xdr:to>
      <xdr:col>8</xdr:col>
      <xdr:colOff>447675</xdr:colOff>
      <xdr:row>9</xdr:row>
      <xdr:rowOff>57150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6096001" y="1495425"/>
          <a:ext cx="380999" cy="5334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1724706</xdr:colOff>
      <xdr:row>7</xdr:row>
      <xdr:rowOff>191558</xdr:rowOff>
    </xdr:from>
    <xdr:to>
      <xdr:col>4</xdr:col>
      <xdr:colOff>14288</xdr:colOff>
      <xdr:row>24</xdr:row>
      <xdr:rowOff>10583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22362" y="1834621"/>
          <a:ext cx="1539989" cy="3652837"/>
        </a:xfrm>
        <a:prstGeom prst="rect">
          <a:avLst/>
        </a:prstGeom>
        <a:solidFill>
          <a:srgbClr val="FFFF00">
            <a:alpha val="38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noFill/>
            </a:ln>
            <a:solidFill>
              <a:srgbClr val="FFFF00"/>
            </a:solidFill>
          </a:endParaRPr>
        </a:p>
      </xdr:txBody>
    </xdr:sp>
    <xdr:clientData/>
  </xdr:twoCellAnchor>
  <xdr:twoCellAnchor>
    <xdr:from>
      <xdr:col>3</xdr:col>
      <xdr:colOff>754062</xdr:colOff>
      <xdr:row>7</xdr:row>
      <xdr:rowOff>194468</xdr:rowOff>
    </xdr:from>
    <xdr:to>
      <xdr:col>5</xdr:col>
      <xdr:colOff>912812</xdr:colOff>
      <xdr:row>24</xdr:row>
      <xdr:rowOff>17462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40125" y="1837531"/>
          <a:ext cx="1682750" cy="3656806"/>
        </a:xfrm>
        <a:prstGeom prst="rect">
          <a:avLst/>
        </a:prstGeom>
        <a:solidFill>
          <a:srgbClr val="FFC0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noFill/>
            </a:ln>
            <a:solidFill>
              <a:srgbClr val="FFFF00"/>
            </a:solidFill>
          </a:endParaRPr>
        </a:p>
      </xdr:txBody>
    </xdr:sp>
    <xdr:clientData/>
  </xdr:twoCellAnchor>
  <xdr:twoCellAnchor>
    <xdr:from>
      <xdr:col>4</xdr:col>
      <xdr:colOff>533400</xdr:colOff>
      <xdr:row>4</xdr:row>
      <xdr:rowOff>161925</xdr:rowOff>
    </xdr:from>
    <xdr:to>
      <xdr:col>5</xdr:col>
      <xdr:colOff>257175</xdr:colOff>
      <xdr:row>7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76675" y="352425"/>
          <a:ext cx="485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>
              <a:sym typeface="Wingdings"/>
            </a:rPr>
            <a:t></a:t>
          </a:r>
          <a:endParaRPr lang="fr-FR" sz="2800"/>
        </a:p>
      </xdr:txBody>
    </xdr:sp>
    <xdr:clientData/>
  </xdr:twoCellAnchor>
  <xdr:twoCellAnchor>
    <xdr:from>
      <xdr:col>1</xdr:col>
      <xdr:colOff>400050</xdr:colOff>
      <xdr:row>4</xdr:row>
      <xdr:rowOff>152400</xdr:rowOff>
    </xdr:from>
    <xdr:to>
      <xdr:col>1</xdr:col>
      <xdr:colOff>885825</xdr:colOff>
      <xdr:row>6</xdr:row>
      <xdr:rowOff>180975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95325" y="342900"/>
          <a:ext cx="485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>
              <a:sym typeface="Wingdings"/>
            </a:rPr>
            <a:t></a:t>
          </a:r>
          <a:endParaRPr lang="fr-FR" sz="2800"/>
        </a:p>
      </xdr:txBody>
    </xdr:sp>
    <xdr:clientData/>
  </xdr:twoCellAnchor>
  <xdr:twoCellAnchor>
    <xdr:from>
      <xdr:col>2</xdr:col>
      <xdr:colOff>523875</xdr:colOff>
      <xdr:row>4</xdr:row>
      <xdr:rowOff>152400</xdr:rowOff>
    </xdr:from>
    <xdr:to>
      <xdr:col>3</xdr:col>
      <xdr:colOff>247650</xdr:colOff>
      <xdr:row>6</xdr:row>
      <xdr:rowOff>180975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43150" y="342900"/>
          <a:ext cx="485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>
              <a:sym typeface="Wingdings"/>
            </a:rPr>
            <a:t></a:t>
          </a:r>
          <a:endParaRPr lang="fr-FR" sz="2800"/>
        </a:p>
      </xdr:txBody>
    </xdr:sp>
    <xdr:clientData/>
  </xdr:twoCellAnchor>
  <xdr:twoCellAnchor>
    <xdr:from>
      <xdr:col>6</xdr:col>
      <xdr:colOff>523875</xdr:colOff>
      <xdr:row>4</xdr:row>
      <xdr:rowOff>161925</xdr:rowOff>
    </xdr:from>
    <xdr:to>
      <xdr:col>7</xdr:col>
      <xdr:colOff>247650</xdr:colOff>
      <xdr:row>7</xdr:row>
      <xdr:rowOff>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391150" y="352425"/>
          <a:ext cx="485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800">
              <a:sym typeface="Wingdings"/>
            </a:rPr>
            <a:t></a:t>
          </a:r>
          <a:endParaRPr lang="fr-FR" sz="2800"/>
        </a:p>
      </xdr:txBody>
    </xdr:sp>
    <xdr:clientData/>
  </xdr:twoCellAnchor>
  <xdr:twoCellAnchor>
    <xdr:from>
      <xdr:col>11</xdr:col>
      <xdr:colOff>137206</xdr:colOff>
      <xdr:row>4</xdr:row>
      <xdr:rowOff>61496</xdr:rowOff>
    </xdr:from>
    <xdr:to>
      <xdr:col>13</xdr:col>
      <xdr:colOff>571500</xdr:colOff>
      <xdr:row>17</xdr:row>
      <xdr:rowOff>52275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83345</xdr:colOff>
      <xdr:row>18</xdr:row>
      <xdr:rowOff>83345</xdr:rowOff>
    </xdr:from>
    <xdr:to>
      <xdr:col>13</xdr:col>
      <xdr:colOff>476250</xdr:colOff>
      <xdr:row>32</xdr:row>
      <xdr:rowOff>135733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95252</xdr:colOff>
      <xdr:row>5</xdr:row>
      <xdr:rowOff>190498</xdr:rowOff>
    </xdr:from>
    <xdr:to>
      <xdr:col>22</xdr:col>
      <xdr:colOff>0</xdr:colOff>
      <xdr:row>23</xdr:row>
      <xdr:rowOff>130969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34815" y="1690686"/>
          <a:ext cx="3714748" cy="3952877"/>
        </a:xfrm>
        <a:prstGeom prst="rect">
          <a:avLst/>
        </a:prstGeom>
      </xdr:spPr>
    </xdr:pic>
    <xdr:clientData/>
  </xdr:twoCellAnchor>
  <xdr:twoCellAnchor>
    <xdr:from>
      <xdr:col>16</xdr:col>
      <xdr:colOff>726281</xdr:colOff>
      <xdr:row>8</xdr:row>
      <xdr:rowOff>285750</xdr:rowOff>
    </xdr:from>
    <xdr:to>
      <xdr:col>17</xdr:col>
      <xdr:colOff>690562</xdr:colOff>
      <xdr:row>8</xdr:row>
      <xdr:rowOff>369094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 flipV="1">
          <a:off x="11703844" y="2369344"/>
          <a:ext cx="726281" cy="8334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11908</xdr:colOff>
      <xdr:row>12</xdr:row>
      <xdr:rowOff>95250</xdr:rowOff>
    </xdr:from>
    <xdr:to>
      <xdr:col>17</xdr:col>
      <xdr:colOff>607218</xdr:colOff>
      <xdr:row>12</xdr:row>
      <xdr:rowOff>95252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H="1">
          <a:off x="11751471" y="3381375"/>
          <a:ext cx="595310" cy="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11908</xdr:colOff>
      <xdr:row>15</xdr:row>
      <xdr:rowOff>107157</xdr:rowOff>
    </xdr:from>
    <xdr:to>
      <xdr:col>17</xdr:col>
      <xdr:colOff>226218</xdr:colOff>
      <xdr:row>15</xdr:row>
      <xdr:rowOff>119062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H="1" flipV="1">
          <a:off x="11751471" y="4000501"/>
          <a:ext cx="214310" cy="1190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</xdr:colOff>
      <xdr:row>17</xdr:row>
      <xdr:rowOff>119063</xdr:rowOff>
    </xdr:from>
    <xdr:to>
      <xdr:col>17</xdr:col>
      <xdr:colOff>297656</xdr:colOff>
      <xdr:row>17</xdr:row>
      <xdr:rowOff>154782</xdr:rowOff>
    </xdr:to>
    <xdr:cxnSp macro="">
      <xdr:nvCxnSpPr>
        <xdr:cNvPr id="53" name="Connecteur droit avec flèch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H="1" flipV="1">
          <a:off x="11739564" y="4417219"/>
          <a:ext cx="297655" cy="3571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20</xdr:row>
      <xdr:rowOff>59531</xdr:rowOff>
    </xdr:from>
    <xdr:to>
      <xdr:col>17</xdr:col>
      <xdr:colOff>297656</xdr:colOff>
      <xdr:row>20</xdr:row>
      <xdr:rowOff>107156</xdr:rowOff>
    </xdr:to>
    <xdr:cxnSp macro="">
      <xdr:nvCxnSpPr>
        <xdr:cNvPr id="55" name="Connecteur droit avec flèch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 flipH="1">
          <a:off x="11739563" y="4964906"/>
          <a:ext cx="297656" cy="476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</xdr:colOff>
      <xdr:row>22</xdr:row>
      <xdr:rowOff>95250</xdr:rowOff>
    </xdr:from>
    <xdr:to>
      <xdr:col>17</xdr:col>
      <xdr:colOff>297656</xdr:colOff>
      <xdr:row>22</xdr:row>
      <xdr:rowOff>107156</xdr:rowOff>
    </xdr:to>
    <xdr:cxnSp macro="">
      <xdr:nvCxnSpPr>
        <xdr:cNvPr id="57" name="Connecteur droit avec flèch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11739564" y="5405438"/>
          <a:ext cx="297655" cy="1190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1226344</xdr:colOff>
      <xdr:row>1</xdr:row>
      <xdr:rowOff>35719</xdr:rowOff>
    </xdr:from>
    <xdr:to>
      <xdr:col>7</xdr:col>
      <xdr:colOff>845344</xdr:colOff>
      <xdr:row>4</xdr:row>
      <xdr:rowOff>119063</xdr:rowOff>
    </xdr:to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524000" y="607219"/>
          <a:ext cx="5310188" cy="821532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>
              <a:latin typeface="Arial Black" pitchFamily="34" charset="0"/>
            </a:rPr>
            <a:t>AIDE</a:t>
          </a:r>
          <a:r>
            <a:rPr lang="fr-FR" sz="2000" b="1" baseline="0">
              <a:latin typeface="Arial Black" pitchFamily="34" charset="0"/>
            </a:rPr>
            <a:t> A LA CREATION DE MELANGES DE COUVERTS VEGETAUX</a:t>
          </a:r>
          <a:endParaRPr lang="fr-FR" sz="2000" b="1">
            <a:latin typeface="Arial Black" pitchFamily="34" charset="0"/>
          </a:endParaRPr>
        </a:p>
      </xdr:txBody>
    </xdr:sp>
    <xdr:clientData/>
  </xdr:twoCellAnchor>
  <xdr:twoCellAnchor editAs="oneCell">
    <xdr:from>
      <xdr:col>0</xdr:col>
      <xdr:colOff>95251</xdr:colOff>
      <xdr:row>1</xdr:row>
      <xdr:rowOff>76343</xdr:rowOff>
    </xdr:from>
    <xdr:to>
      <xdr:col>1</xdr:col>
      <xdr:colOff>1131095</xdr:colOff>
      <xdr:row>4</xdr:row>
      <xdr:rowOff>38100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647843"/>
          <a:ext cx="1333500" cy="699945"/>
        </a:xfrm>
        <a:prstGeom prst="rect">
          <a:avLst/>
        </a:prstGeom>
      </xdr:spPr>
    </xdr:pic>
    <xdr:clientData/>
  </xdr:twoCellAnchor>
  <xdr:twoCellAnchor>
    <xdr:from>
      <xdr:col>13</xdr:col>
      <xdr:colOff>392909</xdr:colOff>
      <xdr:row>17</xdr:row>
      <xdr:rowOff>154781</xdr:rowOff>
    </xdr:from>
    <xdr:to>
      <xdr:col>15</xdr:col>
      <xdr:colOff>903169</xdr:colOff>
      <xdr:row>30</xdr:row>
      <xdr:rowOff>35720</xdr:rowOff>
    </xdr:to>
    <xdr:graphicFrame macro="">
      <xdr:nvGraphicFramePr>
        <xdr:cNvPr id="61" name="Graphiqu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142875</xdr:colOff>
      <xdr:row>25</xdr:row>
      <xdr:rowOff>35719</xdr:rowOff>
    </xdr:from>
    <xdr:to>
      <xdr:col>15</xdr:col>
      <xdr:colOff>738187</xdr:colOff>
      <xdr:row>26</xdr:row>
      <xdr:rowOff>47625</xdr:rowOff>
    </xdr:to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7143750" y="5750719"/>
          <a:ext cx="3643312" cy="202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ln>
                <a:noFill/>
              </a:ln>
            </a:rPr>
            <a:t>Tendances indicatives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3</xdr:row>
          <xdr:rowOff>7620</xdr:rowOff>
        </xdr:from>
        <xdr:to>
          <xdr:col>15</xdr:col>
          <xdr:colOff>708660</xdr:colOff>
          <xdr:row>3</xdr:row>
          <xdr:rowOff>236220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Mélange ajusté (données du mélange conseillé par défaut)</a:t>
              </a:r>
            </a:p>
          </xdr:txBody>
        </xdr:sp>
        <xdr:clientData fLocksWithSheet="0"/>
      </xdr:twoCellAnchor>
    </mc:Choice>
    <mc:Fallback/>
  </mc:AlternateContent>
  <xdr:twoCellAnchor>
    <xdr:from>
      <xdr:col>11</xdr:col>
      <xdr:colOff>119063</xdr:colOff>
      <xdr:row>1</xdr:row>
      <xdr:rowOff>166754</xdr:rowOff>
    </xdr:from>
    <xdr:to>
      <xdr:col>15</xdr:col>
      <xdr:colOff>714375</xdr:colOff>
      <xdr:row>2</xdr:row>
      <xdr:rowOff>178660</xdr:rowOff>
    </xdr:to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7119938" y="500129"/>
          <a:ext cx="3643312" cy="202406"/>
        </a:xfrm>
        <a:prstGeom prst="rect">
          <a:avLst/>
        </a:prstGeom>
        <a:solidFill>
          <a:srgbClr val="FFC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ln>
                <a:noFill/>
              </a:ln>
            </a:rPr>
            <a:t>Visualisation des effets</a:t>
          </a:r>
        </a:p>
      </xdr:txBody>
    </xdr:sp>
    <xdr:clientData/>
  </xdr:twoCellAnchor>
  <xdr:twoCellAnchor>
    <xdr:from>
      <xdr:col>13</xdr:col>
      <xdr:colOff>631031</xdr:colOff>
      <xdr:row>4</xdr:row>
      <xdr:rowOff>63103</xdr:rowOff>
    </xdr:from>
    <xdr:to>
      <xdr:col>15</xdr:col>
      <xdr:colOff>821531</xdr:colOff>
      <xdr:row>17</xdr:row>
      <xdr:rowOff>47625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226219</xdr:colOff>
      <xdr:row>4</xdr:row>
      <xdr:rowOff>83344</xdr:rowOff>
    </xdr:from>
    <xdr:to>
      <xdr:col>13</xdr:col>
      <xdr:colOff>500063</xdr:colOff>
      <xdr:row>7</xdr:row>
      <xdr:rowOff>11907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227094" y="1154907"/>
          <a:ext cx="1797844" cy="50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1"/>
            <a:t>Répartition des espèces dans le couvert (%)</a:t>
          </a:r>
        </a:p>
      </xdr:txBody>
    </xdr:sp>
    <xdr:clientData/>
  </xdr:twoCellAnchor>
  <xdr:twoCellAnchor>
    <xdr:from>
      <xdr:col>13</xdr:col>
      <xdr:colOff>666751</xdr:colOff>
      <xdr:row>4</xdr:row>
      <xdr:rowOff>59531</xdr:rowOff>
    </xdr:from>
    <xdr:to>
      <xdr:col>15</xdr:col>
      <xdr:colOff>785813</xdr:colOff>
      <xdr:row>7</xdr:row>
      <xdr:rowOff>142875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9191626" y="1131094"/>
          <a:ext cx="1643062" cy="654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1"/>
            <a:t>Nombre de pieds des espèces dans le</a:t>
          </a:r>
          <a:r>
            <a:rPr lang="fr-FR" sz="900" b="1" baseline="0"/>
            <a:t> couvert (pieds/m²)</a:t>
          </a:r>
          <a:endParaRPr lang="fr-FR" sz="900" b="1"/>
        </a:p>
      </xdr:txBody>
    </xdr:sp>
    <xdr:clientData/>
  </xdr:twoCellAnchor>
  <xdr:twoCellAnchor>
    <xdr:from>
      <xdr:col>0</xdr:col>
      <xdr:colOff>47625</xdr:colOff>
      <xdr:row>26</xdr:row>
      <xdr:rowOff>142874</xdr:rowOff>
    </xdr:from>
    <xdr:to>
      <xdr:col>24</xdr:col>
      <xdr:colOff>35718</xdr:colOff>
      <xdr:row>130</xdr:row>
      <xdr:rowOff>95249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5" y="6048374"/>
          <a:ext cx="17061656" cy="197643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80962</xdr:colOff>
      <xdr:row>0</xdr:row>
      <xdr:rowOff>0</xdr:rowOff>
    </xdr:from>
    <xdr:to>
      <xdr:col>77</xdr:col>
      <xdr:colOff>511969</xdr:colOff>
      <xdr:row>98</xdr:row>
      <xdr:rowOff>142875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5630525" y="0"/>
          <a:ext cx="42507694" cy="197643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990599</xdr:colOff>
      <xdr:row>0</xdr:row>
      <xdr:rowOff>9525</xdr:rowOff>
    </xdr:from>
    <xdr:to>
      <xdr:col>6</xdr:col>
      <xdr:colOff>752474</xdr:colOff>
      <xdr:row>47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38399" y="9525"/>
          <a:ext cx="3800475" cy="8953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noFill/>
            </a:ln>
          </a:endParaRPr>
        </a:p>
      </xdr:txBody>
    </xdr:sp>
    <xdr:clientData/>
  </xdr:twoCellAnchor>
  <xdr:twoCellAnchor>
    <xdr:from>
      <xdr:col>10</xdr:col>
      <xdr:colOff>9526</xdr:colOff>
      <xdr:row>2</xdr:row>
      <xdr:rowOff>152400</xdr:rowOff>
    </xdr:from>
    <xdr:to>
      <xdr:col>20</xdr:col>
      <xdr:colOff>504826</xdr:colOff>
      <xdr:row>46</xdr:row>
      <xdr:rowOff>104775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543926" y="533400"/>
          <a:ext cx="8115300" cy="8334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noFill/>
            </a:ln>
          </a:endParaRPr>
        </a:p>
      </xdr:txBody>
    </xdr:sp>
    <xdr:clientData/>
  </xdr:twoCellAnchor>
  <xdr:twoCellAnchor>
    <xdr:from>
      <xdr:col>10</xdr:col>
      <xdr:colOff>533400</xdr:colOff>
      <xdr:row>5</xdr:row>
      <xdr:rowOff>114300</xdr:rowOff>
    </xdr:from>
    <xdr:to>
      <xdr:col>12</xdr:col>
      <xdr:colOff>295275</xdr:colOff>
      <xdr:row>8</xdr:row>
      <xdr:rowOff>180975</xdr:rowOff>
    </xdr:to>
    <xdr:sp macro="" textlink="">
      <xdr:nvSpPr>
        <xdr:cNvPr id="4" name="Légende encadrée 1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67800" y="1066800"/>
          <a:ext cx="1285875" cy="638175"/>
        </a:xfrm>
        <a:prstGeom prst="borderCallout1">
          <a:avLst>
            <a:gd name="adj1" fmla="val 18750"/>
            <a:gd name="adj2" fmla="val -8333"/>
            <a:gd name="adj3" fmla="val -45395"/>
            <a:gd name="adj4" fmla="val -672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Les coûts, dose/ha et PMG</a:t>
          </a:r>
          <a:r>
            <a:rPr lang="fr-FR" sz="1100" baseline="0"/>
            <a:t> peuvent être modifiés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8</xdr:col>
      <xdr:colOff>619125</xdr:colOff>
      <xdr:row>21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9050"/>
          <a:ext cx="6705600" cy="401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C8" sqref="C8"/>
    </sheetView>
  </sheetViews>
  <sheetFormatPr baseColWidth="10" defaultRowHeight="14.4" x14ac:dyDescent="0.3"/>
  <cols>
    <col min="2" max="2" width="10.44140625" customWidth="1"/>
    <col min="14" max="14" width="9.554687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5.4" x14ac:dyDescent="0.3">
      <c r="A2" s="1"/>
      <c r="B2" s="1"/>
      <c r="C2" s="86" t="s">
        <v>102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"/>
      <c r="P2" s="1"/>
      <c r="Q2" s="1"/>
      <c r="R2" s="1"/>
      <c r="S2" s="1"/>
    </row>
    <row r="3" spans="1:19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</sheetData>
  <mergeCells count="1">
    <mergeCell ref="C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58"/>
  <sheetViews>
    <sheetView tabSelected="1" zoomScale="80" zoomScaleNormal="80" workbookViewId="0">
      <selection activeCell="B10" sqref="B10"/>
    </sheetView>
  </sheetViews>
  <sheetFormatPr baseColWidth="10" defaultColWidth="11.44140625" defaultRowHeight="14.4" x14ac:dyDescent="0.3"/>
  <cols>
    <col min="1" max="1" width="4.44140625" style="57" customWidth="1"/>
    <col min="2" max="2" width="25.88671875" style="57" customWidth="1"/>
    <col min="3" max="5" width="11.44140625" style="57"/>
    <col min="6" max="6" width="13.6640625" style="57" customWidth="1"/>
    <col min="7" max="7" width="11.44140625" style="81"/>
    <col min="8" max="8" width="15.109375" style="81" customWidth="1"/>
    <col min="9" max="11" width="0" style="57" hidden="1" customWidth="1"/>
    <col min="12" max="15" width="11.44140625" style="57"/>
    <col min="16" max="16" width="14" style="57" customWidth="1"/>
    <col min="17" max="37" width="11.44140625" style="57"/>
    <col min="38" max="38" width="9.109375" style="57" customWidth="1"/>
    <col min="39" max="39" width="16.33203125" style="57" customWidth="1"/>
    <col min="40" max="16384" width="11.44140625" style="57"/>
  </cols>
  <sheetData>
    <row r="1" spans="1:67" ht="25.8" x14ac:dyDescent="0.5">
      <c r="A1" s="31"/>
      <c r="B1" s="31"/>
      <c r="C1" s="31"/>
      <c r="D1" s="31"/>
      <c r="E1" s="31"/>
      <c r="F1" s="31"/>
      <c r="G1" s="80"/>
      <c r="H1" s="80"/>
      <c r="L1" s="87" t="s">
        <v>80</v>
      </c>
      <c r="M1" s="88"/>
      <c r="N1" s="88"/>
      <c r="O1" s="88"/>
      <c r="P1" s="88"/>
      <c r="Q1" s="88"/>
      <c r="R1" s="88"/>
      <c r="S1" s="88"/>
      <c r="T1" s="88"/>
      <c r="U1" s="88"/>
      <c r="V1" s="89"/>
      <c r="W1" s="47"/>
      <c r="X1" s="47"/>
    </row>
    <row r="2" spans="1:67" x14ac:dyDescent="0.3">
      <c r="A2" s="31"/>
      <c r="B2" s="31"/>
      <c r="C2" s="31"/>
      <c r="D2" s="31"/>
      <c r="E2" s="31"/>
      <c r="F2" s="31"/>
      <c r="G2" s="80"/>
      <c r="H2" s="80"/>
      <c r="L2" s="69"/>
      <c r="M2" s="47"/>
      <c r="N2" s="47"/>
      <c r="O2" s="47"/>
      <c r="P2" s="47"/>
      <c r="Q2" s="47"/>
      <c r="R2" s="47"/>
      <c r="S2" s="47"/>
      <c r="T2" s="47"/>
      <c r="U2" s="47"/>
      <c r="V2" s="70"/>
      <c r="W2" s="47"/>
      <c r="X2" s="47"/>
    </row>
    <row r="3" spans="1:67" x14ac:dyDescent="0.3">
      <c r="A3" s="31"/>
      <c r="B3" s="31"/>
      <c r="C3" s="31"/>
      <c r="D3" s="31"/>
      <c r="E3" s="31"/>
      <c r="F3" s="31"/>
      <c r="G3" s="80"/>
      <c r="H3" s="80"/>
      <c r="L3" s="69"/>
      <c r="M3" s="47"/>
      <c r="N3" s="47"/>
      <c r="O3" s="47"/>
      <c r="P3" s="47"/>
      <c r="Q3" s="47"/>
      <c r="R3" s="47"/>
      <c r="S3" s="47"/>
      <c r="T3" s="47"/>
      <c r="U3" s="47"/>
      <c r="V3" s="70"/>
      <c r="W3" s="47"/>
      <c r="X3" s="47"/>
    </row>
    <row r="4" spans="1:67" ht="28.8" x14ac:dyDescent="0.55000000000000004">
      <c r="A4" s="31"/>
      <c r="B4" s="31"/>
      <c r="C4" s="31"/>
      <c r="D4" s="31"/>
      <c r="E4" s="31"/>
      <c r="F4" s="31"/>
      <c r="G4" s="80"/>
      <c r="H4" s="80"/>
      <c r="L4" s="47"/>
      <c r="M4" s="47"/>
      <c r="N4" s="47"/>
      <c r="O4" s="47"/>
      <c r="P4" s="47"/>
      <c r="Q4" s="93" t="s">
        <v>79</v>
      </c>
      <c r="R4" s="94"/>
      <c r="S4" s="94"/>
      <c r="T4" s="94"/>
      <c r="U4" s="94"/>
      <c r="V4" s="94"/>
      <c r="W4" s="47"/>
      <c r="X4" s="47"/>
    </row>
    <row r="5" spans="1:67" x14ac:dyDescent="0.3">
      <c r="A5" s="31"/>
      <c r="B5" s="31"/>
      <c r="C5" s="31"/>
      <c r="D5" s="31"/>
      <c r="E5" s="31"/>
      <c r="F5" s="31"/>
      <c r="G5" s="80"/>
      <c r="H5" s="80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67" x14ac:dyDescent="0.3">
      <c r="A6" s="31"/>
      <c r="B6" s="31"/>
      <c r="C6" s="31"/>
      <c r="D6" s="31"/>
      <c r="E6" s="31"/>
      <c r="F6" s="31"/>
      <c r="G6" s="80"/>
      <c r="H6" s="80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67" x14ac:dyDescent="0.3">
      <c r="A7" s="31"/>
      <c r="B7" s="31"/>
      <c r="C7" s="31"/>
      <c r="D7" s="31"/>
      <c r="E7" s="31"/>
      <c r="F7" s="31"/>
      <c r="G7" s="80"/>
      <c r="H7" s="80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67" ht="15" thickBot="1" x14ac:dyDescent="0.35">
      <c r="A8" s="90" t="s">
        <v>56</v>
      </c>
      <c r="B8" s="92"/>
      <c r="C8" s="90" t="s">
        <v>54</v>
      </c>
      <c r="D8" s="90"/>
      <c r="E8" s="90" t="s">
        <v>53</v>
      </c>
      <c r="F8" s="90"/>
      <c r="G8" s="91" t="s">
        <v>55</v>
      </c>
      <c r="H8" s="91"/>
      <c r="L8" s="47"/>
      <c r="M8" s="47"/>
      <c r="N8" s="47"/>
      <c r="O8" s="47"/>
      <c r="P8" s="47"/>
      <c r="Q8" s="51" t="s">
        <v>60</v>
      </c>
      <c r="R8" s="47"/>
      <c r="S8" s="47"/>
      <c r="T8" s="47"/>
      <c r="U8" s="47"/>
      <c r="V8" s="47"/>
      <c r="W8" s="47"/>
      <c r="X8" s="31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 t="s">
        <v>92</v>
      </c>
      <c r="AN8" s="58"/>
      <c r="AO8" s="58"/>
      <c r="AP8" s="58"/>
      <c r="AQ8" s="58"/>
      <c r="AR8" s="58" t="s">
        <v>93</v>
      </c>
      <c r="AS8" s="58"/>
      <c r="AT8" s="58"/>
      <c r="AU8" s="58"/>
      <c r="AV8" s="58" t="s">
        <v>97</v>
      </c>
      <c r="AW8" s="58" t="s">
        <v>99</v>
      </c>
      <c r="AX8" s="58" t="s">
        <v>100</v>
      </c>
      <c r="AY8" s="58"/>
      <c r="AZ8" s="58"/>
      <c r="BA8" s="58"/>
      <c r="BB8" s="58"/>
      <c r="BC8" s="58"/>
    </row>
    <row r="9" spans="1:67" s="72" customFormat="1" ht="46.8" x14ac:dyDescent="0.3">
      <c r="A9" s="52"/>
      <c r="B9" s="71" t="s">
        <v>0</v>
      </c>
      <c r="C9" s="32" t="s">
        <v>50</v>
      </c>
      <c r="D9" s="33" t="s">
        <v>103</v>
      </c>
      <c r="E9" s="32" t="s">
        <v>51</v>
      </c>
      <c r="F9" s="34" t="s">
        <v>49</v>
      </c>
      <c r="G9" s="79" t="s">
        <v>52</v>
      </c>
      <c r="H9" s="82" t="s">
        <v>49</v>
      </c>
      <c r="I9" s="72" t="s">
        <v>1</v>
      </c>
      <c r="J9" s="72" t="s">
        <v>2</v>
      </c>
      <c r="K9" s="72" t="s">
        <v>3</v>
      </c>
      <c r="L9" s="52"/>
      <c r="M9" s="52"/>
      <c r="N9" s="52"/>
      <c r="O9" s="52"/>
      <c r="P9" s="52"/>
      <c r="Q9" s="53">
        <f>E53</f>
        <v>0</v>
      </c>
      <c r="R9" s="52"/>
      <c r="S9" s="52"/>
      <c r="T9" s="52"/>
      <c r="U9" s="52"/>
      <c r="V9" s="52"/>
      <c r="W9" s="52"/>
      <c r="X9" s="59"/>
      <c r="Y9" s="60" t="s">
        <v>85</v>
      </c>
      <c r="Z9" s="60" t="s">
        <v>95</v>
      </c>
      <c r="AA9" s="60" t="s">
        <v>96</v>
      </c>
      <c r="AB9" s="60" t="s">
        <v>84</v>
      </c>
      <c r="AC9" s="60" t="s">
        <v>95</v>
      </c>
      <c r="AD9" s="60" t="s">
        <v>96</v>
      </c>
      <c r="AE9" s="60" t="s">
        <v>86</v>
      </c>
      <c r="AF9" s="60" t="s">
        <v>95</v>
      </c>
      <c r="AG9" s="60" t="s">
        <v>96</v>
      </c>
      <c r="AH9" s="60" t="s">
        <v>88</v>
      </c>
      <c r="AI9" s="60" t="s">
        <v>87</v>
      </c>
      <c r="AJ9" s="60" t="s">
        <v>95</v>
      </c>
      <c r="AK9" s="60" t="s">
        <v>96</v>
      </c>
      <c r="AL9" s="60"/>
      <c r="AM9" s="60"/>
      <c r="AN9" s="60" t="s">
        <v>69</v>
      </c>
      <c r="AO9" s="60" t="s">
        <v>91</v>
      </c>
      <c r="AP9" s="60" t="s">
        <v>70</v>
      </c>
      <c r="AQ9" s="60" t="s">
        <v>58</v>
      </c>
      <c r="AR9" s="60" t="s">
        <v>69</v>
      </c>
      <c r="AS9" s="60" t="s">
        <v>91</v>
      </c>
      <c r="AT9" s="60" t="s">
        <v>70</v>
      </c>
      <c r="AU9" s="60" t="s">
        <v>58</v>
      </c>
      <c r="AV9" s="60"/>
      <c r="AW9" s="60"/>
      <c r="AX9" s="60"/>
      <c r="AY9" s="60"/>
      <c r="AZ9" s="58" t="s">
        <v>0</v>
      </c>
      <c r="BA9" s="58" t="s">
        <v>101</v>
      </c>
      <c r="BB9" s="60"/>
      <c r="BC9" s="60"/>
    </row>
    <row r="10" spans="1:67" ht="15.6" x14ac:dyDescent="0.3">
      <c r="A10" s="73">
        <v>1</v>
      </c>
      <c r="B10" s="77"/>
      <c r="C10" s="35" t="str">
        <f>IF(B10="","",VLOOKUP(B10,BDD!$A$5:$I$47,9,0))</f>
        <v/>
      </c>
      <c r="D10" s="36" t="str">
        <f>IF(C10="","",VLOOKUP(B10,BDD!$A$5:$I$47,8,0))</f>
        <v/>
      </c>
      <c r="E10" s="37" t="str">
        <f>IF(B10="","",C10/$B$25)</f>
        <v/>
      </c>
      <c r="F10" s="38" t="str">
        <f>IF(B10="","",E10*D10)</f>
        <v/>
      </c>
      <c r="G10" s="28"/>
      <c r="H10" s="36" t="str">
        <f>IF(B10="","",G10*D10)</f>
        <v/>
      </c>
      <c r="I10" s="74" t="str">
        <f>IF(B10="","",VLOOKUP(B10,BDD!$A$5:$I$47,2,0))</f>
        <v/>
      </c>
      <c r="J10" s="35" t="str">
        <f>IF(B10="","",VLOOKUP(B10,BDD!$A$5:$I$47,3,0))</f>
        <v/>
      </c>
      <c r="K10" s="75" t="str">
        <f>IF(B10="","",VLOOKUP(B10,BDD!$A$5:$I$47,4,0))</f>
        <v/>
      </c>
      <c r="L10" s="47"/>
      <c r="M10" s="47"/>
      <c r="N10" s="47"/>
      <c r="O10" s="47"/>
      <c r="P10" s="47"/>
      <c r="Q10" s="54"/>
      <c r="R10" s="47"/>
      <c r="S10" s="47"/>
      <c r="T10" s="47"/>
      <c r="U10" s="47"/>
      <c r="V10" s="47"/>
      <c r="W10" s="47"/>
      <c r="X10" s="31"/>
      <c r="Y10" s="61" t="str">
        <f>IF(B10="","",VLOOKUP(B10,BDD!$A$5:$I$47,5,0))</f>
        <v/>
      </c>
      <c r="Z10" s="62" t="str">
        <f>E10</f>
        <v/>
      </c>
      <c r="AA10" s="62" t="str">
        <f>IF(B10="", "", Y10*Z10)</f>
        <v/>
      </c>
      <c r="AB10" s="61" t="str">
        <f>IF(B10="","",VLOOKUP(B10,BDD!$A$5:$I$47,7,0))</f>
        <v/>
      </c>
      <c r="AC10" s="62" t="str">
        <f>E10</f>
        <v/>
      </c>
      <c r="AD10" s="62" t="str">
        <f>IF(B10="", "", AB10*AC10)</f>
        <v/>
      </c>
      <c r="AE10" s="58" t="str">
        <f>IF(B10="", "", G10*Y10)</f>
        <v/>
      </c>
      <c r="AF10" s="58">
        <f>G10</f>
        <v>0</v>
      </c>
      <c r="AG10" s="58" t="str">
        <f>IF(B10="", "", AF10*Y10)</f>
        <v/>
      </c>
      <c r="AH10" s="58" t="str">
        <f>IF(B10="", "", G10*4)</f>
        <v/>
      </c>
      <c r="AI10" s="58" t="str">
        <f t="shared" ref="AI10:AI24" si="0">IF(B10="", "", G10*AB10)</f>
        <v/>
      </c>
      <c r="AJ10" s="58">
        <f>AF10</f>
        <v>0</v>
      </c>
      <c r="AK10" s="58"/>
      <c r="AL10" s="58"/>
      <c r="AM10" s="61" t="str">
        <f>IF(B10="","",VLOOKUP(B10,BDD!$A$5:$I$47,2,0))</f>
        <v/>
      </c>
      <c r="AN10" s="63" t="str">
        <f>IF(AM10="graminée", E10, "")</f>
        <v/>
      </c>
      <c r="AO10" s="63" t="str">
        <f>IF(AM10="Légumineuse", E10, "")</f>
        <v/>
      </c>
      <c r="AP10" s="63" t="str">
        <f>IF(AM10="Crucifère", E10, "")</f>
        <v/>
      </c>
      <c r="AQ10" s="63" t="str">
        <f>IF(SUM(AN10:AP10)&gt;0, "", E10)</f>
        <v/>
      </c>
      <c r="AR10" s="63" t="str">
        <f>IF(AM10="graminée", G10, "")</f>
        <v/>
      </c>
      <c r="AS10" s="63" t="str">
        <f>IF(AM10="Légumineuse", G10, "")</f>
        <v/>
      </c>
      <c r="AT10" s="63" t="str">
        <f>IF(AM10="Crucifère", G10, "")</f>
        <v/>
      </c>
      <c r="AU10" s="63">
        <f>IF(SUM(AR10:AT10)&gt;0, "", G10)</f>
        <v>0</v>
      </c>
      <c r="AV10" s="61" t="str">
        <f>IF(B10="","",VLOOKUP(B10,BDD!$A$5:$J$47,10,0))</f>
        <v/>
      </c>
      <c r="AW10" s="58" t="str">
        <f>IF(B10="", "", (E10*100)/AV10)</f>
        <v/>
      </c>
      <c r="AX10" s="58" t="str">
        <f>IF(B10= "", "", (G10*100)/AV10)</f>
        <v/>
      </c>
      <c r="AY10" s="58"/>
      <c r="AZ10" s="58" t="str">
        <f>IF(B10="", "", B10)</f>
        <v/>
      </c>
      <c r="BA10" s="63" t="str">
        <f>IF($Y$28=TRUE, AX10, AW10)</f>
        <v/>
      </c>
      <c r="BB10" s="63"/>
      <c r="BC10" s="63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</row>
    <row r="11" spans="1:67" ht="15.6" x14ac:dyDescent="0.3">
      <c r="A11" s="76">
        <v>2</v>
      </c>
      <c r="B11" s="78"/>
      <c r="C11" s="39" t="str">
        <f>IF(B11="","",VLOOKUP(B11,BDD!$A$5:$I$47,9,0))</f>
        <v/>
      </c>
      <c r="D11" s="40" t="str">
        <f>IF(C11="","",VLOOKUP(B11,BDD!$A$5:$I$47,8,0))</f>
        <v/>
      </c>
      <c r="E11" s="41" t="str">
        <f t="shared" ref="E11:E24" si="1">IF(B11="","",C11/$B$25)</f>
        <v/>
      </c>
      <c r="F11" s="42" t="str">
        <f t="shared" ref="F11:F24" si="2">IF(B11="","",E11*D11)</f>
        <v/>
      </c>
      <c r="G11" s="29"/>
      <c r="H11" s="40" t="str">
        <f t="shared" ref="H11:H24" si="3">IF(B11="","",G11*D11)</f>
        <v/>
      </c>
      <c r="I11" s="74" t="str">
        <f>IF(B11="","",VLOOKUP(B11,BDD!$A$5:$I$47,2,0))</f>
        <v/>
      </c>
      <c r="J11" s="35" t="str">
        <f>IF(B11="","",VLOOKUP(B11,BDD!$A$5:$I$47,3,0))</f>
        <v/>
      </c>
      <c r="K11" s="75" t="str">
        <f>IF(B11="","",VLOOKUP(B11,BDD!$A$5:$I$47,4,0))</f>
        <v/>
      </c>
      <c r="L11" s="47"/>
      <c r="M11" s="47"/>
      <c r="N11" s="47"/>
      <c r="O11" s="47"/>
      <c r="P11" s="47"/>
      <c r="Q11" s="54"/>
      <c r="R11" s="47"/>
      <c r="S11" s="47"/>
      <c r="T11" s="47"/>
      <c r="U11" s="47"/>
      <c r="V11" s="47"/>
      <c r="W11" s="47"/>
      <c r="X11" s="31"/>
      <c r="Y11" s="61" t="str">
        <f>IF(B11="","",VLOOKUP(B11,BDD!$A$5:$I$47,5,0))</f>
        <v/>
      </c>
      <c r="Z11" s="62" t="str">
        <f t="shared" ref="Z11:Z24" si="4">E11</f>
        <v/>
      </c>
      <c r="AA11" s="62" t="str">
        <f t="shared" ref="AA11:AA24" si="5">IF(B11="", "", Y11*Z11)</f>
        <v/>
      </c>
      <c r="AB11" s="61" t="str">
        <f>IF(B11="","",VLOOKUP(B11,BDD!$A$5:$I$47,7,0))</f>
        <v/>
      </c>
      <c r="AC11" s="62" t="str">
        <f t="shared" ref="AC11:AC24" si="6">E11</f>
        <v/>
      </c>
      <c r="AD11" s="62" t="str">
        <f t="shared" ref="AD11:AD24" si="7">IF(B11="", "", AB11*AC11)</f>
        <v/>
      </c>
      <c r="AE11" s="58" t="str">
        <f t="shared" ref="AE11:AE24" si="8">IF(B11="", "", G11*Y11)</f>
        <v/>
      </c>
      <c r="AF11" s="58">
        <f t="shared" ref="AF11:AF24" si="9">G11</f>
        <v>0</v>
      </c>
      <c r="AG11" s="58" t="str">
        <f t="shared" ref="AG11:AG24" si="10">IF(B11="", "", AF11*Y11)</f>
        <v/>
      </c>
      <c r="AH11" s="58" t="str">
        <f t="shared" ref="AH11:AH24" si="11">IF(B11="", "", G11*4)</f>
        <v/>
      </c>
      <c r="AI11" s="58" t="str">
        <f t="shared" si="0"/>
        <v/>
      </c>
      <c r="AJ11" s="58">
        <f t="shared" ref="AJ11:AJ24" si="12">AF11</f>
        <v>0</v>
      </c>
      <c r="AK11" s="58"/>
      <c r="AL11" s="58"/>
      <c r="AM11" s="61" t="str">
        <f>IF(B11="","",VLOOKUP(B11,BDD!$A$5:$I$47,2,0))</f>
        <v/>
      </c>
      <c r="AN11" s="63" t="str">
        <f t="shared" ref="AN11:AN24" si="13">IF(AM11="graminée", E11, "")</f>
        <v/>
      </c>
      <c r="AO11" s="63" t="str">
        <f t="shared" ref="AO11:AO24" si="14">IF(AM11="Légumineuse", E11, "")</f>
        <v/>
      </c>
      <c r="AP11" s="63" t="str">
        <f t="shared" ref="AP11:AP24" si="15">IF(AM11="Crucifère", E11, "")</f>
        <v/>
      </c>
      <c r="AQ11" s="63" t="str">
        <f t="shared" ref="AQ11:AQ24" si="16">IF(SUM(AN11:AP11)&gt;0, "", E11)</f>
        <v/>
      </c>
      <c r="AR11" s="63" t="str">
        <f t="shared" ref="AR11:AR24" si="17">IF(AM11="graminée", G11, "")</f>
        <v/>
      </c>
      <c r="AS11" s="63" t="str">
        <f t="shared" ref="AS11:AS24" si="18">IF(AM11="Légumineuse", G11, "")</f>
        <v/>
      </c>
      <c r="AT11" s="63" t="str">
        <f t="shared" ref="AT11:AT24" si="19">IF(AM11="Crucifère", G11, "")</f>
        <v/>
      </c>
      <c r="AU11" s="63">
        <f t="shared" ref="AU11:AU24" si="20">IF(SUM(AR11:AT11)&gt;0, "", G11)</f>
        <v>0</v>
      </c>
      <c r="AV11" s="61" t="str">
        <f>IF(B11="","",VLOOKUP(B11,BDD!$A$5:$J$47,10,0))</f>
        <v/>
      </c>
      <c r="AW11" s="58" t="str">
        <f t="shared" ref="AW11:AW24" si="21">IF(B11="", "", (E11*100)/AV11)</f>
        <v/>
      </c>
      <c r="AX11" s="58" t="str">
        <f t="shared" ref="AX11:AX24" si="22">IF(B11= "", "", (G11*100)/AV11)</f>
        <v/>
      </c>
      <c r="AY11" s="58"/>
      <c r="AZ11" s="58" t="str">
        <f t="shared" ref="AZ11:AZ24" si="23">IF(B11="", "", B11)</f>
        <v/>
      </c>
      <c r="BA11" s="63" t="str">
        <f t="shared" ref="BA11:BA24" si="24">IF($Y$28=TRUE, AX11, AW11)</f>
        <v/>
      </c>
      <c r="BB11" s="58"/>
      <c r="BC11" s="58"/>
    </row>
    <row r="12" spans="1:67" ht="15.6" x14ac:dyDescent="0.3">
      <c r="A12" s="73">
        <v>3</v>
      </c>
      <c r="B12" s="77"/>
      <c r="C12" s="35" t="str">
        <f>IF(B12="","",VLOOKUP(B12,BDD!$A$5:$I$47,9,0))</f>
        <v/>
      </c>
      <c r="D12" s="36" t="str">
        <f>IF(C12="","",VLOOKUP(B12,BDD!$A$5:$I$47,8,0))</f>
        <v/>
      </c>
      <c r="E12" s="37" t="str">
        <f t="shared" si="1"/>
        <v/>
      </c>
      <c r="F12" s="38" t="str">
        <f t="shared" si="2"/>
        <v/>
      </c>
      <c r="G12" s="28"/>
      <c r="H12" s="36" t="str">
        <f t="shared" si="3"/>
        <v/>
      </c>
      <c r="I12" s="74" t="str">
        <f>IF(B12="","",VLOOKUP(B12,BDD!$A$5:$I$47,2,0))</f>
        <v/>
      </c>
      <c r="J12" s="35" t="str">
        <f>IF(B12="","",VLOOKUP(B12,BDD!$A$5:$I$47,3,0))</f>
        <v/>
      </c>
      <c r="K12" s="75" t="str">
        <f>IF(B12="","",VLOOKUP(B12,BDD!$A$5:$I$47,4,0))</f>
        <v/>
      </c>
      <c r="L12" s="47"/>
      <c r="M12" s="47"/>
      <c r="N12" s="47"/>
      <c r="O12" s="47"/>
      <c r="P12" s="47"/>
      <c r="Q12" s="54"/>
      <c r="R12" s="47"/>
      <c r="S12" s="47"/>
      <c r="T12" s="47"/>
      <c r="U12" s="47"/>
      <c r="V12" s="47"/>
      <c r="W12" s="47"/>
      <c r="X12" s="31"/>
      <c r="Y12" s="61" t="str">
        <f>IF(B12="","",VLOOKUP(B12,BDD!$A$5:$I$47,5,0))</f>
        <v/>
      </c>
      <c r="Z12" s="62" t="str">
        <f t="shared" si="4"/>
        <v/>
      </c>
      <c r="AA12" s="62" t="str">
        <f t="shared" si="5"/>
        <v/>
      </c>
      <c r="AB12" s="61" t="str">
        <f>IF(B12="","",VLOOKUP(B12,BDD!$A$5:$I$47,7,0))</f>
        <v/>
      </c>
      <c r="AC12" s="62" t="str">
        <f t="shared" si="6"/>
        <v/>
      </c>
      <c r="AD12" s="62" t="str">
        <f t="shared" si="7"/>
        <v/>
      </c>
      <c r="AE12" s="58" t="str">
        <f t="shared" si="8"/>
        <v/>
      </c>
      <c r="AF12" s="58">
        <f t="shared" si="9"/>
        <v>0</v>
      </c>
      <c r="AG12" s="58" t="str">
        <f t="shared" si="10"/>
        <v/>
      </c>
      <c r="AH12" s="58" t="str">
        <f t="shared" si="11"/>
        <v/>
      </c>
      <c r="AI12" s="58" t="str">
        <f t="shared" si="0"/>
        <v/>
      </c>
      <c r="AJ12" s="58">
        <f t="shared" si="12"/>
        <v>0</v>
      </c>
      <c r="AK12" s="58"/>
      <c r="AL12" s="58"/>
      <c r="AM12" s="61" t="str">
        <f>IF(B12="","",VLOOKUP(B12,BDD!$A$5:$I$47,2,0))</f>
        <v/>
      </c>
      <c r="AN12" s="63" t="str">
        <f t="shared" si="13"/>
        <v/>
      </c>
      <c r="AO12" s="63" t="str">
        <f t="shared" si="14"/>
        <v/>
      </c>
      <c r="AP12" s="63" t="str">
        <f t="shared" si="15"/>
        <v/>
      </c>
      <c r="AQ12" s="63" t="str">
        <f t="shared" si="16"/>
        <v/>
      </c>
      <c r="AR12" s="63" t="str">
        <f t="shared" si="17"/>
        <v/>
      </c>
      <c r="AS12" s="63" t="str">
        <f t="shared" si="18"/>
        <v/>
      </c>
      <c r="AT12" s="63" t="str">
        <f t="shared" si="19"/>
        <v/>
      </c>
      <c r="AU12" s="63">
        <f t="shared" si="20"/>
        <v>0</v>
      </c>
      <c r="AV12" s="61" t="str">
        <f>IF(B12="","",VLOOKUP(B12,BDD!$A$5:$J$47,10,0))</f>
        <v/>
      </c>
      <c r="AW12" s="58" t="str">
        <f t="shared" si="21"/>
        <v/>
      </c>
      <c r="AX12" s="58" t="str">
        <f t="shared" si="22"/>
        <v/>
      </c>
      <c r="AY12" s="58"/>
      <c r="AZ12" s="58" t="str">
        <f t="shared" si="23"/>
        <v/>
      </c>
      <c r="BA12" s="63" t="str">
        <f t="shared" si="24"/>
        <v/>
      </c>
      <c r="BB12" s="58"/>
      <c r="BC12" s="58"/>
    </row>
    <row r="13" spans="1:67" ht="15.6" x14ac:dyDescent="0.3">
      <c r="A13" s="76">
        <v>4</v>
      </c>
      <c r="B13" s="78"/>
      <c r="C13" s="39" t="str">
        <f>IF(B13="","",VLOOKUP(B13,BDD!$A$5:$I$47,9,0))</f>
        <v/>
      </c>
      <c r="D13" s="40" t="str">
        <f>IF(C13="","",VLOOKUP(B13,BDD!$A$5:$I$47,8,0))</f>
        <v/>
      </c>
      <c r="E13" s="41" t="str">
        <f t="shared" si="1"/>
        <v/>
      </c>
      <c r="F13" s="42" t="str">
        <f t="shared" si="2"/>
        <v/>
      </c>
      <c r="G13" s="29"/>
      <c r="H13" s="40" t="str">
        <f t="shared" si="3"/>
        <v/>
      </c>
      <c r="I13" s="74" t="str">
        <f>IF(B13="","",VLOOKUP(B13,BDD!$A$5:$I$47,2,0))</f>
        <v/>
      </c>
      <c r="J13" s="35" t="str">
        <f>IF(B13="","",VLOOKUP(B13,BDD!$A$5:$I$47,3,0))</f>
        <v/>
      </c>
      <c r="K13" s="75" t="str">
        <f>IF(B13="","",VLOOKUP(B13,BDD!$A$5:$I$47,4,0))</f>
        <v/>
      </c>
      <c r="L13" s="47"/>
      <c r="M13" s="47"/>
      <c r="N13" s="47"/>
      <c r="O13" s="47"/>
      <c r="P13" s="47"/>
      <c r="Q13" s="55">
        <f>E52</f>
        <v>0</v>
      </c>
      <c r="R13" s="47"/>
      <c r="S13" s="47"/>
      <c r="T13" s="47"/>
      <c r="U13" s="47"/>
      <c r="V13" s="47"/>
      <c r="W13" s="47"/>
      <c r="X13" s="31"/>
      <c r="Y13" s="61" t="str">
        <f>IF(B13="","",VLOOKUP(B13,BDD!$A$5:$I$47,5,0))</f>
        <v/>
      </c>
      <c r="Z13" s="62" t="str">
        <f t="shared" si="4"/>
        <v/>
      </c>
      <c r="AA13" s="62" t="str">
        <f t="shared" si="5"/>
        <v/>
      </c>
      <c r="AB13" s="61" t="str">
        <f>IF(B13="","",VLOOKUP(B13,BDD!$A$5:$I$47,7,0))</f>
        <v/>
      </c>
      <c r="AC13" s="62" t="str">
        <f t="shared" si="6"/>
        <v/>
      </c>
      <c r="AD13" s="62" t="str">
        <f t="shared" si="7"/>
        <v/>
      </c>
      <c r="AE13" s="58" t="str">
        <f t="shared" si="8"/>
        <v/>
      </c>
      <c r="AF13" s="58">
        <f t="shared" si="9"/>
        <v>0</v>
      </c>
      <c r="AG13" s="58" t="str">
        <f t="shared" si="10"/>
        <v/>
      </c>
      <c r="AH13" s="58" t="str">
        <f t="shared" si="11"/>
        <v/>
      </c>
      <c r="AI13" s="58" t="str">
        <f t="shared" si="0"/>
        <v/>
      </c>
      <c r="AJ13" s="58">
        <f t="shared" si="12"/>
        <v>0</v>
      </c>
      <c r="AK13" s="58"/>
      <c r="AL13" s="58"/>
      <c r="AM13" s="61" t="str">
        <f>IF(B13="","",VLOOKUP(B13,BDD!$A$5:$I$47,2,0))</f>
        <v/>
      </c>
      <c r="AN13" s="63" t="str">
        <f t="shared" si="13"/>
        <v/>
      </c>
      <c r="AO13" s="63" t="str">
        <f t="shared" si="14"/>
        <v/>
      </c>
      <c r="AP13" s="63" t="str">
        <f t="shared" si="15"/>
        <v/>
      </c>
      <c r="AQ13" s="63" t="str">
        <f t="shared" si="16"/>
        <v/>
      </c>
      <c r="AR13" s="63" t="str">
        <f t="shared" si="17"/>
        <v/>
      </c>
      <c r="AS13" s="63" t="str">
        <f t="shared" si="18"/>
        <v/>
      </c>
      <c r="AT13" s="63" t="str">
        <f t="shared" si="19"/>
        <v/>
      </c>
      <c r="AU13" s="63">
        <f t="shared" si="20"/>
        <v>0</v>
      </c>
      <c r="AV13" s="61" t="str">
        <f>IF(B13="","",VLOOKUP(B13,BDD!$A$5:$J$47,10,0))</f>
        <v/>
      </c>
      <c r="AW13" s="58" t="str">
        <f t="shared" si="21"/>
        <v/>
      </c>
      <c r="AX13" s="58" t="str">
        <f t="shared" si="22"/>
        <v/>
      </c>
      <c r="AY13" s="58"/>
      <c r="AZ13" s="58" t="str">
        <f t="shared" si="23"/>
        <v/>
      </c>
      <c r="BA13" s="63" t="str">
        <f t="shared" si="24"/>
        <v/>
      </c>
      <c r="BB13" s="58"/>
      <c r="BC13" s="58"/>
    </row>
    <row r="14" spans="1:67" ht="15.6" x14ac:dyDescent="0.3">
      <c r="A14" s="73">
        <v>5</v>
      </c>
      <c r="B14" s="77"/>
      <c r="C14" s="35" t="str">
        <f>IF(B14="","",VLOOKUP(B14,BDD!$A$5:$I$47,9,0))</f>
        <v/>
      </c>
      <c r="D14" s="36" t="str">
        <f>IF(C14="","",VLOOKUP(B14,BDD!$A$5:$I$47,8,0))</f>
        <v/>
      </c>
      <c r="E14" s="37" t="str">
        <f t="shared" si="1"/>
        <v/>
      </c>
      <c r="F14" s="38" t="str">
        <f t="shared" si="2"/>
        <v/>
      </c>
      <c r="G14" s="28"/>
      <c r="H14" s="36" t="str">
        <f t="shared" si="3"/>
        <v/>
      </c>
      <c r="I14" s="74" t="str">
        <f>IF(B14="","",VLOOKUP(B14,BDD!$A$5:$I$47,2,0))</f>
        <v/>
      </c>
      <c r="J14" s="35" t="str">
        <f>IF(B14="","",VLOOKUP(B14,BDD!$A$5:$I$47,3,0))</f>
        <v/>
      </c>
      <c r="K14" s="75" t="str">
        <f>IF(B14="","",VLOOKUP(B14,BDD!$A$5:$I$47,4,0))</f>
        <v/>
      </c>
      <c r="L14" s="47"/>
      <c r="M14" s="47"/>
      <c r="N14" s="47"/>
      <c r="O14" s="47"/>
      <c r="P14" s="47"/>
      <c r="Q14" s="54"/>
      <c r="R14" s="47"/>
      <c r="S14" s="47"/>
      <c r="T14" s="47"/>
      <c r="U14" s="47"/>
      <c r="V14" s="47"/>
      <c r="W14" s="47"/>
      <c r="X14" s="31"/>
      <c r="Y14" s="61" t="str">
        <f>IF(B14="","",VLOOKUP(B14,BDD!$A$5:$I$47,5,0))</f>
        <v/>
      </c>
      <c r="Z14" s="62" t="str">
        <f t="shared" si="4"/>
        <v/>
      </c>
      <c r="AA14" s="62" t="str">
        <f t="shared" si="5"/>
        <v/>
      </c>
      <c r="AB14" s="61" t="str">
        <f>IF(B14="","",VLOOKUP(B14,BDD!$A$5:$I$47,7,0))</f>
        <v/>
      </c>
      <c r="AC14" s="62" t="str">
        <f t="shared" si="6"/>
        <v/>
      </c>
      <c r="AD14" s="62" t="str">
        <f t="shared" si="7"/>
        <v/>
      </c>
      <c r="AE14" s="58" t="str">
        <f t="shared" si="8"/>
        <v/>
      </c>
      <c r="AF14" s="58">
        <f t="shared" si="9"/>
        <v>0</v>
      </c>
      <c r="AG14" s="58" t="str">
        <f t="shared" si="10"/>
        <v/>
      </c>
      <c r="AH14" s="58" t="str">
        <f t="shared" si="11"/>
        <v/>
      </c>
      <c r="AI14" s="58" t="str">
        <f t="shared" si="0"/>
        <v/>
      </c>
      <c r="AJ14" s="58">
        <f t="shared" si="12"/>
        <v>0</v>
      </c>
      <c r="AK14" s="58"/>
      <c r="AL14" s="58"/>
      <c r="AM14" s="61" t="str">
        <f>IF(B14="","",VLOOKUP(B14,BDD!$A$5:$I$47,2,0))</f>
        <v/>
      </c>
      <c r="AN14" s="63" t="str">
        <f t="shared" si="13"/>
        <v/>
      </c>
      <c r="AO14" s="63" t="str">
        <f t="shared" si="14"/>
        <v/>
      </c>
      <c r="AP14" s="63" t="str">
        <f t="shared" si="15"/>
        <v/>
      </c>
      <c r="AQ14" s="63" t="str">
        <f t="shared" si="16"/>
        <v/>
      </c>
      <c r="AR14" s="63" t="str">
        <f t="shared" si="17"/>
        <v/>
      </c>
      <c r="AS14" s="63" t="str">
        <f t="shared" si="18"/>
        <v/>
      </c>
      <c r="AT14" s="63" t="str">
        <f t="shared" si="19"/>
        <v/>
      </c>
      <c r="AU14" s="63">
        <f t="shared" si="20"/>
        <v>0</v>
      </c>
      <c r="AV14" s="61" t="str">
        <f>IF(B14="","",VLOOKUP(B14,BDD!$A$5:$J$47,10,0))</f>
        <v/>
      </c>
      <c r="AW14" s="58" t="str">
        <f t="shared" si="21"/>
        <v/>
      </c>
      <c r="AX14" s="58" t="str">
        <f t="shared" si="22"/>
        <v/>
      </c>
      <c r="AY14" s="58"/>
      <c r="AZ14" s="58" t="str">
        <f t="shared" si="23"/>
        <v/>
      </c>
      <c r="BA14" s="63" t="str">
        <f t="shared" si="24"/>
        <v/>
      </c>
      <c r="BB14" s="63"/>
      <c r="BC14" s="63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</row>
    <row r="15" spans="1:67" ht="15.6" x14ac:dyDescent="0.3">
      <c r="A15" s="76">
        <v>6</v>
      </c>
      <c r="B15" s="78"/>
      <c r="C15" s="39" t="str">
        <f>IF(B15="","",VLOOKUP(B15,BDD!$A$5:$I$47,9,0))</f>
        <v/>
      </c>
      <c r="D15" s="40" t="str">
        <f>IF(C15="","",VLOOKUP(B15,BDD!$A$5:$I$47,8,0))</f>
        <v/>
      </c>
      <c r="E15" s="41" t="str">
        <f t="shared" si="1"/>
        <v/>
      </c>
      <c r="F15" s="42" t="str">
        <f t="shared" si="2"/>
        <v/>
      </c>
      <c r="G15" s="29"/>
      <c r="H15" s="40" t="str">
        <f t="shared" si="3"/>
        <v/>
      </c>
      <c r="I15" s="74" t="str">
        <f>IF(B15="","",VLOOKUP(B15,BDD!$A$5:$I$47,2,0))</f>
        <v/>
      </c>
      <c r="J15" s="35" t="str">
        <f>IF(B15="","",VLOOKUP(B15,BDD!$A$5:$I$47,3,0))</f>
        <v/>
      </c>
      <c r="K15" s="75" t="str">
        <f>IF(B15="","",VLOOKUP(B15,BDD!$A$5:$I$47,4,0))</f>
        <v/>
      </c>
      <c r="L15" s="47"/>
      <c r="M15" s="47"/>
      <c r="N15" s="47"/>
      <c r="O15" s="47"/>
      <c r="P15" s="47"/>
      <c r="Q15" s="54"/>
      <c r="R15" s="47"/>
      <c r="S15" s="47"/>
      <c r="T15" s="47"/>
      <c r="U15" s="47"/>
      <c r="V15" s="47"/>
      <c r="W15" s="47"/>
      <c r="X15" s="31"/>
      <c r="Y15" s="61" t="str">
        <f>IF(B15="","",VLOOKUP(B15,BDD!$A$5:$I$47,5,0))</f>
        <v/>
      </c>
      <c r="Z15" s="62" t="str">
        <f t="shared" si="4"/>
        <v/>
      </c>
      <c r="AA15" s="62" t="str">
        <f t="shared" si="5"/>
        <v/>
      </c>
      <c r="AB15" s="61" t="str">
        <f>IF(B15="","",VLOOKUP(B15,BDD!$A$5:$I$47,7,0))</f>
        <v/>
      </c>
      <c r="AC15" s="62" t="str">
        <f t="shared" si="6"/>
        <v/>
      </c>
      <c r="AD15" s="62" t="str">
        <f t="shared" si="7"/>
        <v/>
      </c>
      <c r="AE15" s="58" t="str">
        <f t="shared" si="8"/>
        <v/>
      </c>
      <c r="AF15" s="58">
        <f t="shared" si="9"/>
        <v>0</v>
      </c>
      <c r="AG15" s="58" t="str">
        <f t="shared" si="10"/>
        <v/>
      </c>
      <c r="AH15" s="58" t="str">
        <f t="shared" si="11"/>
        <v/>
      </c>
      <c r="AI15" s="58" t="str">
        <f t="shared" si="0"/>
        <v/>
      </c>
      <c r="AJ15" s="58">
        <f t="shared" si="12"/>
        <v>0</v>
      </c>
      <c r="AK15" s="58"/>
      <c r="AL15" s="58"/>
      <c r="AM15" s="61" t="str">
        <f>IF(B15="","",VLOOKUP(B15,BDD!$A$5:$I$47,2,0))</f>
        <v/>
      </c>
      <c r="AN15" s="63" t="str">
        <f t="shared" si="13"/>
        <v/>
      </c>
      <c r="AO15" s="63" t="str">
        <f t="shared" si="14"/>
        <v/>
      </c>
      <c r="AP15" s="63" t="str">
        <f t="shared" si="15"/>
        <v/>
      </c>
      <c r="AQ15" s="63" t="str">
        <f t="shared" si="16"/>
        <v/>
      </c>
      <c r="AR15" s="63" t="str">
        <f t="shared" si="17"/>
        <v/>
      </c>
      <c r="AS15" s="63" t="str">
        <f t="shared" si="18"/>
        <v/>
      </c>
      <c r="AT15" s="63" t="str">
        <f t="shared" si="19"/>
        <v/>
      </c>
      <c r="AU15" s="63">
        <f t="shared" si="20"/>
        <v>0</v>
      </c>
      <c r="AV15" s="61" t="str">
        <f>IF(B15="","",VLOOKUP(B15,BDD!$A$5:$J$47,10,0))</f>
        <v/>
      </c>
      <c r="AW15" s="58" t="str">
        <f t="shared" si="21"/>
        <v/>
      </c>
      <c r="AX15" s="58" t="str">
        <f t="shared" si="22"/>
        <v/>
      </c>
      <c r="AY15" s="58"/>
      <c r="AZ15" s="58" t="str">
        <f t="shared" si="23"/>
        <v/>
      </c>
      <c r="BA15" s="63" t="str">
        <f t="shared" si="24"/>
        <v/>
      </c>
      <c r="BB15" s="58"/>
      <c r="BC15" s="58"/>
    </row>
    <row r="16" spans="1:67" ht="15.6" x14ac:dyDescent="0.3">
      <c r="A16" s="73">
        <v>7</v>
      </c>
      <c r="B16" s="77"/>
      <c r="C16" s="35" t="str">
        <f>IF(B16="","",VLOOKUP(B16,BDD!$A$5:$I$47,9,0))</f>
        <v/>
      </c>
      <c r="D16" s="36" t="str">
        <f>IF(C16="","",VLOOKUP(B16,BDD!$A$5:$I$47,8,0))</f>
        <v/>
      </c>
      <c r="E16" s="37" t="str">
        <f t="shared" si="1"/>
        <v/>
      </c>
      <c r="F16" s="38" t="str">
        <f t="shared" si="2"/>
        <v/>
      </c>
      <c r="G16" s="28"/>
      <c r="H16" s="36" t="str">
        <f t="shared" si="3"/>
        <v/>
      </c>
      <c r="I16" s="74" t="str">
        <f>IF(B16="","",VLOOKUP(B16,BDD!$A$5:$I$47,2,0))</f>
        <v/>
      </c>
      <c r="J16" s="35" t="str">
        <f>IF(B16="","",VLOOKUP(B16,BDD!$A$5:$I$47,3,0))</f>
        <v/>
      </c>
      <c r="K16" s="75" t="str">
        <f>IF(B16="","",VLOOKUP(B16,BDD!$A$5:$I$47,4,0))</f>
        <v/>
      </c>
      <c r="L16" s="47"/>
      <c r="M16" s="47"/>
      <c r="N16" s="47"/>
      <c r="O16" s="47"/>
      <c r="P16" s="47"/>
      <c r="Q16" s="55">
        <f>E51</f>
        <v>0</v>
      </c>
      <c r="R16" s="47"/>
      <c r="S16" s="47"/>
      <c r="T16" s="47"/>
      <c r="U16" s="47"/>
      <c r="V16" s="47"/>
      <c r="W16" s="47"/>
      <c r="X16" s="31"/>
      <c r="Y16" s="61" t="str">
        <f>IF(B16="","",VLOOKUP(B16,BDD!$A$5:$I$47,5,0))</f>
        <v/>
      </c>
      <c r="Z16" s="62" t="str">
        <f t="shared" si="4"/>
        <v/>
      </c>
      <c r="AA16" s="62" t="str">
        <f t="shared" si="5"/>
        <v/>
      </c>
      <c r="AB16" s="61" t="str">
        <f>IF(B16="","",VLOOKUP(B16,BDD!$A$5:$I$47,7,0))</f>
        <v/>
      </c>
      <c r="AC16" s="62" t="str">
        <f t="shared" si="6"/>
        <v/>
      </c>
      <c r="AD16" s="62" t="str">
        <f t="shared" si="7"/>
        <v/>
      </c>
      <c r="AE16" s="58" t="str">
        <f t="shared" si="8"/>
        <v/>
      </c>
      <c r="AF16" s="58">
        <f t="shared" si="9"/>
        <v>0</v>
      </c>
      <c r="AG16" s="58" t="str">
        <f t="shared" si="10"/>
        <v/>
      </c>
      <c r="AH16" s="58" t="str">
        <f t="shared" si="11"/>
        <v/>
      </c>
      <c r="AI16" s="58" t="str">
        <f t="shared" si="0"/>
        <v/>
      </c>
      <c r="AJ16" s="58">
        <f t="shared" si="12"/>
        <v>0</v>
      </c>
      <c r="AK16" s="58"/>
      <c r="AL16" s="58"/>
      <c r="AM16" s="61" t="str">
        <f>IF(B16="","",VLOOKUP(B16,BDD!$A$5:$I$47,2,0))</f>
        <v/>
      </c>
      <c r="AN16" s="63" t="str">
        <f t="shared" si="13"/>
        <v/>
      </c>
      <c r="AO16" s="63" t="str">
        <f t="shared" si="14"/>
        <v/>
      </c>
      <c r="AP16" s="63" t="str">
        <f t="shared" si="15"/>
        <v/>
      </c>
      <c r="AQ16" s="63" t="str">
        <f t="shared" si="16"/>
        <v/>
      </c>
      <c r="AR16" s="63" t="str">
        <f t="shared" si="17"/>
        <v/>
      </c>
      <c r="AS16" s="63" t="str">
        <f t="shared" si="18"/>
        <v/>
      </c>
      <c r="AT16" s="63" t="str">
        <f t="shared" si="19"/>
        <v/>
      </c>
      <c r="AU16" s="63">
        <f t="shared" si="20"/>
        <v>0</v>
      </c>
      <c r="AV16" s="61" t="str">
        <f>IF(B16="","",VLOOKUP(B16,BDD!$A$5:$J$47,10,0))</f>
        <v/>
      </c>
      <c r="AW16" s="58" t="str">
        <f t="shared" si="21"/>
        <v/>
      </c>
      <c r="AX16" s="58" t="str">
        <f t="shared" si="22"/>
        <v/>
      </c>
      <c r="AY16" s="58"/>
      <c r="AZ16" s="58" t="str">
        <f t="shared" si="23"/>
        <v/>
      </c>
      <c r="BA16" s="63" t="str">
        <f t="shared" si="24"/>
        <v/>
      </c>
      <c r="BB16" s="58"/>
      <c r="BC16" s="58"/>
    </row>
    <row r="17" spans="1:55" ht="15.6" x14ac:dyDescent="0.3">
      <c r="A17" s="76">
        <v>8</v>
      </c>
      <c r="B17" s="78"/>
      <c r="C17" s="39" t="str">
        <f>IF(B17="","",VLOOKUP(B17,BDD!$A$5:$I$47,9,0))</f>
        <v/>
      </c>
      <c r="D17" s="40" t="str">
        <f>IF(C17="","",VLOOKUP(B17,BDD!$A$5:$I$47,8,0))</f>
        <v/>
      </c>
      <c r="E17" s="41" t="str">
        <f t="shared" si="1"/>
        <v/>
      </c>
      <c r="F17" s="42" t="str">
        <f t="shared" si="2"/>
        <v/>
      </c>
      <c r="G17" s="29"/>
      <c r="H17" s="40" t="str">
        <f t="shared" si="3"/>
        <v/>
      </c>
      <c r="I17" s="74" t="str">
        <f>IF(B17="","",VLOOKUP(B17,BDD!$A$5:$I$47,2,0))</f>
        <v/>
      </c>
      <c r="J17" s="35" t="str">
        <f>IF(B17="","",VLOOKUP(B17,BDD!$A$5:$I$47,3,0))</f>
        <v/>
      </c>
      <c r="K17" s="75" t="str">
        <f>IF(B17="","",VLOOKUP(B17,BDD!$A$5:$I$47,4,0))</f>
        <v/>
      </c>
      <c r="L17" s="47"/>
      <c r="M17" s="47"/>
      <c r="N17" s="47"/>
      <c r="O17" s="47"/>
      <c r="P17" s="47"/>
      <c r="Q17" s="54"/>
      <c r="R17" s="47"/>
      <c r="S17" s="47"/>
      <c r="T17" s="47"/>
      <c r="U17" s="47"/>
      <c r="V17" s="47"/>
      <c r="W17" s="47"/>
      <c r="X17" s="31"/>
      <c r="Y17" s="61" t="str">
        <f>IF(B17="","",VLOOKUP(B17,BDD!$A$5:$I$47,5,0))</f>
        <v/>
      </c>
      <c r="Z17" s="62" t="str">
        <f t="shared" si="4"/>
        <v/>
      </c>
      <c r="AA17" s="62" t="str">
        <f t="shared" si="5"/>
        <v/>
      </c>
      <c r="AB17" s="61" t="str">
        <f>IF(B17="","",VLOOKUP(B17,BDD!$A$5:$I$47,7,0))</f>
        <v/>
      </c>
      <c r="AC17" s="62" t="str">
        <f t="shared" si="6"/>
        <v/>
      </c>
      <c r="AD17" s="62" t="str">
        <f t="shared" si="7"/>
        <v/>
      </c>
      <c r="AE17" s="58" t="str">
        <f t="shared" si="8"/>
        <v/>
      </c>
      <c r="AF17" s="58">
        <f t="shared" si="9"/>
        <v>0</v>
      </c>
      <c r="AG17" s="58" t="str">
        <f t="shared" si="10"/>
        <v/>
      </c>
      <c r="AH17" s="58" t="str">
        <f t="shared" si="11"/>
        <v/>
      </c>
      <c r="AI17" s="58" t="str">
        <f t="shared" si="0"/>
        <v/>
      </c>
      <c r="AJ17" s="58">
        <f t="shared" si="12"/>
        <v>0</v>
      </c>
      <c r="AK17" s="58"/>
      <c r="AL17" s="58"/>
      <c r="AM17" s="61" t="str">
        <f>IF(B17="","",VLOOKUP(B17,BDD!$A$5:$I$47,2,0))</f>
        <v/>
      </c>
      <c r="AN17" s="63" t="str">
        <f t="shared" si="13"/>
        <v/>
      </c>
      <c r="AO17" s="63" t="str">
        <f t="shared" si="14"/>
        <v/>
      </c>
      <c r="AP17" s="63" t="str">
        <f t="shared" si="15"/>
        <v/>
      </c>
      <c r="AQ17" s="63" t="str">
        <f t="shared" si="16"/>
        <v/>
      </c>
      <c r="AR17" s="63" t="str">
        <f t="shared" si="17"/>
        <v/>
      </c>
      <c r="AS17" s="63" t="str">
        <f t="shared" si="18"/>
        <v/>
      </c>
      <c r="AT17" s="63" t="str">
        <f t="shared" si="19"/>
        <v/>
      </c>
      <c r="AU17" s="63">
        <f t="shared" si="20"/>
        <v>0</v>
      </c>
      <c r="AV17" s="61" t="str">
        <f>IF(B17="","",VLOOKUP(B17,BDD!$A$5:$J$47,10,0))</f>
        <v/>
      </c>
      <c r="AW17" s="58" t="str">
        <f t="shared" si="21"/>
        <v/>
      </c>
      <c r="AX17" s="58" t="str">
        <f t="shared" si="22"/>
        <v/>
      </c>
      <c r="AY17" s="58"/>
      <c r="AZ17" s="58" t="str">
        <f t="shared" si="23"/>
        <v/>
      </c>
      <c r="BA17" s="63" t="str">
        <f t="shared" si="24"/>
        <v/>
      </c>
      <c r="BB17" s="58"/>
      <c r="BC17" s="58"/>
    </row>
    <row r="18" spans="1:55" ht="15.6" x14ac:dyDescent="0.3">
      <c r="A18" s="73">
        <v>9</v>
      </c>
      <c r="B18" s="77"/>
      <c r="C18" s="35" t="str">
        <f>IF(B18="","",VLOOKUP(B18,BDD!$A$5:$I$47,9,0))</f>
        <v/>
      </c>
      <c r="D18" s="36" t="str">
        <f>IF(C18="","",VLOOKUP(B18,BDD!$A$5:$I$47,8,0))</f>
        <v/>
      </c>
      <c r="E18" s="37" t="str">
        <f t="shared" si="1"/>
        <v/>
      </c>
      <c r="F18" s="38" t="str">
        <f t="shared" si="2"/>
        <v/>
      </c>
      <c r="G18" s="28"/>
      <c r="H18" s="36" t="str">
        <f t="shared" si="3"/>
        <v/>
      </c>
      <c r="I18" s="74" t="str">
        <f>IF(B18="","",VLOOKUP(B18,BDD!$A$5:$I$47,2,0))</f>
        <v/>
      </c>
      <c r="J18" s="35" t="str">
        <f>IF(B18="","",VLOOKUP(B18,BDD!$A$5:$I$47,3,0))</f>
        <v/>
      </c>
      <c r="K18" s="75" t="str">
        <f>IF(B18="","",VLOOKUP(B18,BDD!$A$5:$I$47,4,0))</f>
        <v/>
      </c>
      <c r="L18" s="47"/>
      <c r="M18" s="47"/>
      <c r="N18" s="47"/>
      <c r="O18" s="47"/>
      <c r="P18" s="47"/>
      <c r="Q18" s="56">
        <f>E56</f>
        <v>0</v>
      </c>
      <c r="R18" s="47"/>
      <c r="S18" s="47"/>
      <c r="T18" s="47"/>
      <c r="U18" s="47"/>
      <c r="V18" s="47"/>
      <c r="W18" s="47"/>
      <c r="X18" s="31"/>
      <c r="Y18" s="61" t="str">
        <f>IF(B18="","",VLOOKUP(B18,BDD!$A$5:$I$47,5,0))</f>
        <v/>
      </c>
      <c r="Z18" s="62" t="str">
        <f t="shared" si="4"/>
        <v/>
      </c>
      <c r="AA18" s="62" t="str">
        <f t="shared" si="5"/>
        <v/>
      </c>
      <c r="AB18" s="61" t="str">
        <f>IF(B18="","",VLOOKUP(B18,BDD!$A$5:$I$47,7,0))</f>
        <v/>
      </c>
      <c r="AC18" s="62" t="str">
        <f t="shared" si="6"/>
        <v/>
      </c>
      <c r="AD18" s="62" t="str">
        <f t="shared" si="7"/>
        <v/>
      </c>
      <c r="AE18" s="58" t="str">
        <f t="shared" si="8"/>
        <v/>
      </c>
      <c r="AF18" s="58">
        <f t="shared" si="9"/>
        <v>0</v>
      </c>
      <c r="AG18" s="58" t="str">
        <f t="shared" si="10"/>
        <v/>
      </c>
      <c r="AH18" s="58" t="str">
        <f t="shared" si="11"/>
        <v/>
      </c>
      <c r="AI18" s="58" t="str">
        <f t="shared" si="0"/>
        <v/>
      </c>
      <c r="AJ18" s="58">
        <f t="shared" si="12"/>
        <v>0</v>
      </c>
      <c r="AK18" s="58"/>
      <c r="AL18" s="58"/>
      <c r="AM18" s="61" t="str">
        <f>IF(B18="","",VLOOKUP(B18,BDD!$A$5:$I$47,2,0))</f>
        <v/>
      </c>
      <c r="AN18" s="63" t="str">
        <f t="shared" si="13"/>
        <v/>
      </c>
      <c r="AO18" s="63" t="str">
        <f t="shared" si="14"/>
        <v/>
      </c>
      <c r="AP18" s="63" t="str">
        <f t="shared" si="15"/>
        <v/>
      </c>
      <c r="AQ18" s="63" t="str">
        <f t="shared" si="16"/>
        <v/>
      </c>
      <c r="AR18" s="63" t="str">
        <f t="shared" si="17"/>
        <v/>
      </c>
      <c r="AS18" s="63" t="str">
        <f t="shared" si="18"/>
        <v/>
      </c>
      <c r="AT18" s="63" t="str">
        <f t="shared" si="19"/>
        <v/>
      </c>
      <c r="AU18" s="63">
        <f t="shared" si="20"/>
        <v>0</v>
      </c>
      <c r="AV18" s="61" t="str">
        <f>IF(B18="","",VLOOKUP(B18,BDD!$A$5:$J$47,10,0))</f>
        <v/>
      </c>
      <c r="AW18" s="58" t="str">
        <f t="shared" si="21"/>
        <v/>
      </c>
      <c r="AX18" s="58" t="str">
        <f t="shared" si="22"/>
        <v/>
      </c>
      <c r="AY18" s="58"/>
      <c r="AZ18" s="58" t="str">
        <f t="shared" si="23"/>
        <v/>
      </c>
      <c r="BA18" s="63" t="str">
        <f t="shared" si="24"/>
        <v/>
      </c>
      <c r="BB18" s="58"/>
      <c r="BC18" s="58"/>
    </row>
    <row r="19" spans="1:55" ht="15.6" x14ac:dyDescent="0.3">
      <c r="A19" s="76">
        <v>10</v>
      </c>
      <c r="B19" s="78"/>
      <c r="C19" s="39" t="str">
        <f>IF(B19="","",VLOOKUP(B19,BDD!$A$5:$I$47,9,0))</f>
        <v/>
      </c>
      <c r="D19" s="40" t="str">
        <f>IF(C19="","",VLOOKUP(B19,BDD!$A$5:$I$47,8,0))</f>
        <v/>
      </c>
      <c r="E19" s="41" t="str">
        <f t="shared" si="1"/>
        <v/>
      </c>
      <c r="F19" s="42" t="str">
        <f t="shared" si="2"/>
        <v/>
      </c>
      <c r="G19" s="29"/>
      <c r="H19" s="40" t="str">
        <f t="shared" si="3"/>
        <v/>
      </c>
      <c r="I19" s="74" t="str">
        <f>IF(B19="","",VLOOKUP(B19,BDD!$A$5:$I$47,2,0))</f>
        <v/>
      </c>
      <c r="J19" s="35" t="str">
        <f>IF(B19="","",VLOOKUP(B19,BDD!$A$5:$I$47,3,0))</f>
        <v/>
      </c>
      <c r="K19" s="75" t="str">
        <f>IF(B19="","",VLOOKUP(B19,BDD!$A$5:$I$47,4,0))</f>
        <v/>
      </c>
      <c r="M19" s="47"/>
      <c r="N19" s="47"/>
      <c r="O19" s="47"/>
      <c r="P19" s="47"/>
      <c r="Q19" s="54"/>
      <c r="R19" s="47"/>
      <c r="S19" s="47"/>
      <c r="T19" s="47"/>
      <c r="U19" s="47"/>
      <c r="V19" s="47"/>
      <c r="W19" s="47"/>
      <c r="X19" s="31"/>
      <c r="Y19" s="61" t="str">
        <f>IF(B19="","",VLOOKUP(B19,BDD!$A$5:$I$47,5,0))</f>
        <v/>
      </c>
      <c r="Z19" s="62" t="str">
        <f t="shared" si="4"/>
        <v/>
      </c>
      <c r="AA19" s="62" t="str">
        <f t="shared" si="5"/>
        <v/>
      </c>
      <c r="AB19" s="61" t="str">
        <f>IF(B19="","",VLOOKUP(B19,BDD!$A$5:$I$47,7,0))</f>
        <v/>
      </c>
      <c r="AC19" s="62" t="str">
        <f t="shared" si="6"/>
        <v/>
      </c>
      <c r="AD19" s="62" t="str">
        <f t="shared" si="7"/>
        <v/>
      </c>
      <c r="AE19" s="58" t="str">
        <f t="shared" si="8"/>
        <v/>
      </c>
      <c r="AF19" s="58">
        <f t="shared" si="9"/>
        <v>0</v>
      </c>
      <c r="AG19" s="58" t="str">
        <f t="shared" si="10"/>
        <v/>
      </c>
      <c r="AH19" s="58" t="str">
        <f t="shared" si="11"/>
        <v/>
      </c>
      <c r="AI19" s="58" t="str">
        <f t="shared" si="0"/>
        <v/>
      </c>
      <c r="AJ19" s="58">
        <f t="shared" si="12"/>
        <v>0</v>
      </c>
      <c r="AK19" s="58"/>
      <c r="AL19" s="58"/>
      <c r="AM19" s="61" t="str">
        <f>IF(B19="","",VLOOKUP(B19,BDD!$A$5:$I$47,2,0))</f>
        <v/>
      </c>
      <c r="AN19" s="63" t="str">
        <f t="shared" si="13"/>
        <v/>
      </c>
      <c r="AO19" s="63" t="str">
        <f t="shared" si="14"/>
        <v/>
      </c>
      <c r="AP19" s="63" t="str">
        <f t="shared" si="15"/>
        <v/>
      </c>
      <c r="AQ19" s="63" t="str">
        <f t="shared" si="16"/>
        <v/>
      </c>
      <c r="AR19" s="63" t="str">
        <f t="shared" si="17"/>
        <v/>
      </c>
      <c r="AS19" s="63" t="str">
        <f t="shared" si="18"/>
        <v/>
      </c>
      <c r="AT19" s="63" t="str">
        <f t="shared" si="19"/>
        <v/>
      </c>
      <c r="AU19" s="63">
        <f t="shared" si="20"/>
        <v>0</v>
      </c>
      <c r="AV19" s="61" t="str">
        <f>IF(B19="","",VLOOKUP(B19,BDD!$A$5:$J$47,10,0))</f>
        <v/>
      </c>
      <c r="AW19" s="58" t="str">
        <f t="shared" si="21"/>
        <v/>
      </c>
      <c r="AX19" s="58" t="str">
        <f t="shared" si="22"/>
        <v/>
      </c>
      <c r="AY19" s="58"/>
      <c r="AZ19" s="58" t="str">
        <f t="shared" si="23"/>
        <v/>
      </c>
      <c r="BA19" s="63" t="str">
        <f t="shared" si="24"/>
        <v/>
      </c>
      <c r="BB19" s="58"/>
      <c r="BC19" s="58"/>
    </row>
    <row r="20" spans="1:55" ht="15.6" x14ac:dyDescent="0.3">
      <c r="A20" s="73">
        <v>11</v>
      </c>
      <c r="B20" s="77"/>
      <c r="C20" s="35" t="str">
        <f>IF(B20="","",VLOOKUP(B20,BDD!$A$5:$I$47,9,0))</f>
        <v/>
      </c>
      <c r="D20" s="36" t="str">
        <f>IF(C20="","",VLOOKUP(B20,BDD!$A$5:$I$47,8,0))</f>
        <v/>
      </c>
      <c r="E20" s="37" t="str">
        <f t="shared" si="1"/>
        <v/>
      </c>
      <c r="F20" s="38" t="str">
        <f t="shared" si="2"/>
        <v/>
      </c>
      <c r="G20" s="28"/>
      <c r="H20" s="36" t="str">
        <f t="shared" si="3"/>
        <v/>
      </c>
      <c r="I20" s="74" t="str">
        <f>IF(B20="","",VLOOKUP(B20,BDD!$A$5:$I$47,2,0))</f>
        <v/>
      </c>
      <c r="J20" s="35" t="str">
        <f>IF(B20="","",VLOOKUP(B20,BDD!$A$5:$I$47,3,0))</f>
        <v/>
      </c>
      <c r="K20" s="75" t="str">
        <f>IF(B20="","",VLOOKUP(B20,BDD!$A$5:$I$47,4,0))</f>
        <v/>
      </c>
      <c r="L20" s="47"/>
      <c r="M20" s="47"/>
      <c r="N20" s="47"/>
      <c r="O20" s="47"/>
      <c r="P20" s="47"/>
      <c r="Q20" s="54"/>
      <c r="R20" s="47"/>
      <c r="S20" s="47"/>
      <c r="T20" s="47"/>
      <c r="U20" s="47"/>
      <c r="V20" s="47"/>
      <c r="W20" s="47"/>
      <c r="X20" s="31"/>
      <c r="Y20" s="61" t="str">
        <f>IF(B20="","",VLOOKUP(B20,BDD!$A$5:$I$47,5,0))</f>
        <v/>
      </c>
      <c r="Z20" s="62" t="str">
        <f t="shared" si="4"/>
        <v/>
      </c>
      <c r="AA20" s="62" t="str">
        <f t="shared" si="5"/>
        <v/>
      </c>
      <c r="AB20" s="61" t="str">
        <f>IF(B20="","",VLOOKUP(B20,BDD!$A$5:$I$47,7,0))</f>
        <v/>
      </c>
      <c r="AC20" s="62" t="str">
        <f t="shared" si="6"/>
        <v/>
      </c>
      <c r="AD20" s="62" t="str">
        <f t="shared" si="7"/>
        <v/>
      </c>
      <c r="AE20" s="58" t="str">
        <f t="shared" si="8"/>
        <v/>
      </c>
      <c r="AF20" s="58">
        <f t="shared" si="9"/>
        <v>0</v>
      </c>
      <c r="AG20" s="58" t="str">
        <f t="shared" si="10"/>
        <v/>
      </c>
      <c r="AH20" s="58" t="str">
        <f t="shared" si="11"/>
        <v/>
      </c>
      <c r="AI20" s="58" t="str">
        <f t="shared" si="0"/>
        <v/>
      </c>
      <c r="AJ20" s="58">
        <f t="shared" si="12"/>
        <v>0</v>
      </c>
      <c r="AK20" s="58"/>
      <c r="AL20" s="58"/>
      <c r="AM20" s="61" t="str">
        <f>IF(B20="","",VLOOKUP(B20,BDD!$A$5:$I$47,2,0))</f>
        <v/>
      </c>
      <c r="AN20" s="63" t="str">
        <f t="shared" si="13"/>
        <v/>
      </c>
      <c r="AO20" s="63" t="str">
        <f t="shared" si="14"/>
        <v/>
      </c>
      <c r="AP20" s="63" t="str">
        <f t="shared" si="15"/>
        <v/>
      </c>
      <c r="AQ20" s="63" t="str">
        <f t="shared" si="16"/>
        <v/>
      </c>
      <c r="AR20" s="63" t="str">
        <f t="shared" si="17"/>
        <v/>
      </c>
      <c r="AS20" s="63" t="str">
        <f t="shared" si="18"/>
        <v/>
      </c>
      <c r="AT20" s="63" t="str">
        <f t="shared" si="19"/>
        <v/>
      </c>
      <c r="AU20" s="63">
        <f t="shared" si="20"/>
        <v>0</v>
      </c>
      <c r="AV20" s="61" t="str">
        <f>IF(B20="","",VLOOKUP(B20,BDD!$A$5:$J$47,10,0))</f>
        <v/>
      </c>
      <c r="AW20" s="58" t="str">
        <f t="shared" si="21"/>
        <v/>
      </c>
      <c r="AX20" s="58" t="str">
        <f t="shared" si="22"/>
        <v/>
      </c>
      <c r="AY20" s="58"/>
      <c r="AZ20" s="58" t="str">
        <f t="shared" si="23"/>
        <v/>
      </c>
      <c r="BA20" s="63" t="str">
        <f t="shared" si="24"/>
        <v/>
      </c>
      <c r="BB20" s="58"/>
      <c r="BC20" s="58"/>
    </row>
    <row r="21" spans="1:55" ht="15.6" x14ac:dyDescent="0.3">
      <c r="A21" s="76">
        <v>12</v>
      </c>
      <c r="B21" s="78"/>
      <c r="C21" s="39" t="str">
        <f>IF(B21="","",VLOOKUP(B21,BDD!$A$5:$I$47,9,0))</f>
        <v/>
      </c>
      <c r="D21" s="40" t="str">
        <f>IF(C21="","",VLOOKUP(B21,BDD!$A$5:$I$47,8,0))</f>
        <v/>
      </c>
      <c r="E21" s="41" t="str">
        <f t="shared" si="1"/>
        <v/>
      </c>
      <c r="F21" s="42" t="str">
        <f t="shared" si="2"/>
        <v/>
      </c>
      <c r="G21" s="29"/>
      <c r="H21" s="40" t="str">
        <f t="shared" si="3"/>
        <v/>
      </c>
      <c r="I21" s="74" t="str">
        <f>IF(B21="","",VLOOKUP(B21,BDD!$A$5:$I$47,2,0))</f>
        <v/>
      </c>
      <c r="J21" s="35" t="str">
        <f>IF(B21="","",VLOOKUP(B21,BDD!$A$5:$I$47,3,0))</f>
        <v/>
      </c>
      <c r="K21" s="75" t="str">
        <f>IF(B21="","",VLOOKUP(B21,BDD!$A$5:$I$47,4,0))</f>
        <v/>
      </c>
      <c r="L21" s="47"/>
      <c r="M21" s="47"/>
      <c r="N21" s="47"/>
      <c r="O21" s="47"/>
      <c r="P21" s="47"/>
      <c r="Q21" s="56">
        <f>E57</f>
        <v>0</v>
      </c>
      <c r="R21" s="47"/>
      <c r="S21" s="47"/>
      <c r="T21" s="47"/>
      <c r="U21" s="47"/>
      <c r="V21" s="47"/>
      <c r="W21" s="47"/>
      <c r="X21" s="31"/>
      <c r="Y21" s="61" t="str">
        <f>IF(B21="","",VLOOKUP(B21,BDD!$A$5:$I$47,5,0))</f>
        <v/>
      </c>
      <c r="Z21" s="62" t="str">
        <f t="shared" si="4"/>
        <v/>
      </c>
      <c r="AA21" s="62" t="str">
        <f t="shared" si="5"/>
        <v/>
      </c>
      <c r="AB21" s="61" t="str">
        <f>IF(B21="","",VLOOKUP(B21,BDD!$A$5:$I$47,7,0))</f>
        <v/>
      </c>
      <c r="AC21" s="62" t="str">
        <f t="shared" si="6"/>
        <v/>
      </c>
      <c r="AD21" s="62" t="str">
        <f t="shared" si="7"/>
        <v/>
      </c>
      <c r="AE21" s="58" t="str">
        <f t="shared" si="8"/>
        <v/>
      </c>
      <c r="AF21" s="58">
        <f t="shared" si="9"/>
        <v>0</v>
      </c>
      <c r="AG21" s="58" t="str">
        <f t="shared" si="10"/>
        <v/>
      </c>
      <c r="AH21" s="58" t="str">
        <f t="shared" si="11"/>
        <v/>
      </c>
      <c r="AI21" s="58" t="str">
        <f t="shared" si="0"/>
        <v/>
      </c>
      <c r="AJ21" s="58">
        <f t="shared" si="12"/>
        <v>0</v>
      </c>
      <c r="AK21" s="58"/>
      <c r="AL21" s="58"/>
      <c r="AM21" s="61" t="str">
        <f>IF(B21="","",VLOOKUP(B21,BDD!$A$5:$I$47,2,0))</f>
        <v/>
      </c>
      <c r="AN21" s="63" t="str">
        <f t="shared" si="13"/>
        <v/>
      </c>
      <c r="AO21" s="63" t="str">
        <f t="shared" si="14"/>
        <v/>
      </c>
      <c r="AP21" s="63" t="str">
        <f t="shared" si="15"/>
        <v/>
      </c>
      <c r="AQ21" s="63" t="str">
        <f t="shared" si="16"/>
        <v/>
      </c>
      <c r="AR21" s="63" t="str">
        <f t="shared" si="17"/>
        <v/>
      </c>
      <c r="AS21" s="63" t="str">
        <f t="shared" si="18"/>
        <v/>
      </c>
      <c r="AT21" s="63" t="str">
        <f t="shared" si="19"/>
        <v/>
      </c>
      <c r="AU21" s="63">
        <f t="shared" si="20"/>
        <v>0</v>
      </c>
      <c r="AV21" s="61" t="str">
        <f>IF(B21="","",VLOOKUP(B21,BDD!$A$5:$J$47,10,0))</f>
        <v/>
      </c>
      <c r="AW21" s="58" t="str">
        <f t="shared" si="21"/>
        <v/>
      </c>
      <c r="AX21" s="58" t="str">
        <f t="shared" si="22"/>
        <v/>
      </c>
      <c r="AY21" s="58"/>
      <c r="AZ21" s="58" t="str">
        <f t="shared" si="23"/>
        <v/>
      </c>
      <c r="BA21" s="63" t="str">
        <f t="shared" si="24"/>
        <v/>
      </c>
      <c r="BB21" s="58"/>
      <c r="BC21" s="58"/>
    </row>
    <row r="22" spans="1:55" ht="15.6" x14ac:dyDescent="0.3">
      <c r="A22" s="73">
        <v>13</v>
      </c>
      <c r="B22" s="77"/>
      <c r="C22" s="35" t="str">
        <f>IF(B22="","",VLOOKUP(B22,BDD!$A$5:$I$47,9,0))</f>
        <v/>
      </c>
      <c r="D22" s="36" t="str">
        <f>IF(C22="","",VLOOKUP(B22,BDD!$A$5:$I$47,8,0))</f>
        <v/>
      </c>
      <c r="E22" s="37" t="str">
        <f t="shared" si="1"/>
        <v/>
      </c>
      <c r="F22" s="38" t="str">
        <f t="shared" si="2"/>
        <v/>
      </c>
      <c r="G22" s="28"/>
      <c r="H22" s="36" t="str">
        <f t="shared" si="3"/>
        <v/>
      </c>
      <c r="I22" s="74" t="str">
        <f>IF(B22="","",VLOOKUP(B22,BDD!$A$5:$I$47,2,0))</f>
        <v/>
      </c>
      <c r="J22" s="35" t="str">
        <f>IF(B22="","",VLOOKUP(B22,BDD!$A$5:$I$47,3,0))</f>
        <v/>
      </c>
      <c r="K22" s="75" t="str">
        <f>IF(B22="","",VLOOKUP(B22,BDD!$A$5:$I$47,4,0))</f>
        <v/>
      </c>
      <c r="L22" s="47"/>
      <c r="M22" s="47"/>
      <c r="N22" s="47"/>
      <c r="O22" s="47"/>
      <c r="P22" s="47"/>
      <c r="Q22" s="54"/>
      <c r="R22" s="47"/>
      <c r="S22" s="47"/>
      <c r="T22" s="47"/>
      <c r="U22" s="47"/>
      <c r="V22" s="47"/>
      <c r="W22" s="47"/>
      <c r="X22" s="31"/>
      <c r="Y22" s="61" t="str">
        <f>IF(B22="","",VLOOKUP(B22,BDD!$A$5:$I$47,5,0))</f>
        <v/>
      </c>
      <c r="Z22" s="62" t="str">
        <f t="shared" si="4"/>
        <v/>
      </c>
      <c r="AA22" s="62" t="str">
        <f t="shared" si="5"/>
        <v/>
      </c>
      <c r="AB22" s="61" t="str">
        <f>IF(B22="","",VLOOKUP(B22,BDD!$A$5:$I$47,7,0))</f>
        <v/>
      </c>
      <c r="AC22" s="62" t="str">
        <f t="shared" si="6"/>
        <v/>
      </c>
      <c r="AD22" s="62" t="str">
        <f t="shared" si="7"/>
        <v/>
      </c>
      <c r="AE22" s="58" t="str">
        <f t="shared" si="8"/>
        <v/>
      </c>
      <c r="AF22" s="58">
        <f t="shared" si="9"/>
        <v>0</v>
      </c>
      <c r="AG22" s="58" t="str">
        <f t="shared" si="10"/>
        <v/>
      </c>
      <c r="AH22" s="58" t="str">
        <f t="shared" si="11"/>
        <v/>
      </c>
      <c r="AI22" s="58" t="str">
        <f t="shared" si="0"/>
        <v/>
      </c>
      <c r="AJ22" s="58">
        <f t="shared" si="12"/>
        <v>0</v>
      </c>
      <c r="AK22" s="58"/>
      <c r="AL22" s="58"/>
      <c r="AM22" s="61" t="str">
        <f>IF(B22="","",VLOOKUP(B22,BDD!$A$5:$I$47,2,0))</f>
        <v/>
      </c>
      <c r="AN22" s="63" t="str">
        <f t="shared" si="13"/>
        <v/>
      </c>
      <c r="AO22" s="63" t="str">
        <f t="shared" si="14"/>
        <v/>
      </c>
      <c r="AP22" s="63" t="str">
        <f t="shared" si="15"/>
        <v/>
      </c>
      <c r="AQ22" s="63" t="str">
        <f t="shared" si="16"/>
        <v/>
      </c>
      <c r="AR22" s="63" t="str">
        <f t="shared" si="17"/>
        <v/>
      </c>
      <c r="AS22" s="63" t="str">
        <f t="shared" si="18"/>
        <v/>
      </c>
      <c r="AT22" s="63" t="str">
        <f t="shared" si="19"/>
        <v/>
      </c>
      <c r="AU22" s="63">
        <f t="shared" si="20"/>
        <v>0</v>
      </c>
      <c r="AV22" s="61" t="str">
        <f>IF(B22="","",VLOOKUP(B22,BDD!$A$5:$J$47,10,0))</f>
        <v/>
      </c>
      <c r="AW22" s="58" t="str">
        <f t="shared" si="21"/>
        <v/>
      </c>
      <c r="AX22" s="58" t="str">
        <f t="shared" si="22"/>
        <v/>
      </c>
      <c r="AY22" s="58"/>
      <c r="AZ22" s="58" t="str">
        <f t="shared" si="23"/>
        <v/>
      </c>
      <c r="BA22" s="63" t="str">
        <f t="shared" si="24"/>
        <v/>
      </c>
      <c r="BB22" s="58"/>
      <c r="BC22" s="58"/>
    </row>
    <row r="23" spans="1:55" ht="15.6" x14ac:dyDescent="0.3">
      <c r="A23" s="76">
        <v>14</v>
      </c>
      <c r="B23" s="78"/>
      <c r="C23" s="39" t="str">
        <f>IF(B23="","",VLOOKUP(B23,BDD!$A$5:$I$47,9,0))</f>
        <v/>
      </c>
      <c r="D23" s="40" t="str">
        <f>IF(C23="","",VLOOKUP(B23,BDD!$A$5:$I$47,8,0))</f>
        <v/>
      </c>
      <c r="E23" s="41" t="str">
        <f t="shared" si="1"/>
        <v/>
      </c>
      <c r="F23" s="42" t="str">
        <f t="shared" si="2"/>
        <v/>
      </c>
      <c r="G23" s="29"/>
      <c r="H23" s="40" t="str">
        <f t="shared" si="3"/>
        <v/>
      </c>
      <c r="I23" s="74" t="str">
        <f>IF(B23="","",VLOOKUP(B23,BDD!$A$5:$I$47,2,0))</f>
        <v/>
      </c>
      <c r="J23" s="35" t="str">
        <f>IF(B23="","",VLOOKUP(B23,BDD!$A$5:$I$47,3,0))</f>
        <v/>
      </c>
      <c r="K23" s="75" t="str">
        <f>IF(B23="","",VLOOKUP(B23,BDD!$A$5:$I$47,4,0))</f>
        <v/>
      </c>
      <c r="L23" s="47"/>
      <c r="M23" s="47"/>
      <c r="N23" s="47"/>
      <c r="O23" s="47"/>
      <c r="P23" s="47"/>
      <c r="Q23" s="56">
        <f>E58</f>
        <v>0</v>
      </c>
      <c r="R23" s="47"/>
      <c r="S23" s="47"/>
      <c r="T23" s="47"/>
      <c r="U23" s="47"/>
      <c r="V23" s="47"/>
      <c r="W23" s="47"/>
      <c r="X23" s="31"/>
      <c r="Y23" s="61" t="str">
        <f>IF(B23="","",VLOOKUP(B23,BDD!$A$5:$I$47,5,0))</f>
        <v/>
      </c>
      <c r="Z23" s="62" t="str">
        <f t="shared" si="4"/>
        <v/>
      </c>
      <c r="AA23" s="62" t="str">
        <f t="shared" si="5"/>
        <v/>
      </c>
      <c r="AB23" s="61" t="str">
        <f>IF(B23="","",VLOOKUP(B23,BDD!$A$5:$I$47,7,0))</f>
        <v/>
      </c>
      <c r="AC23" s="62" t="str">
        <f t="shared" si="6"/>
        <v/>
      </c>
      <c r="AD23" s="62" t="str">
        <f t="shared" si="7"/>
        <v/>
      </c>
      <c r="AE23" s="58" t="str">
        <f t="shared" si="8"/>
        <v/>
      </c>
      <c r="AF23" s="58">
        <f t="shared" si="9"/>
        <v>0</v>
      </c>
      <c r="AG23" s="58" t="str">
        <f t="shared" si="10"/>
        <v/>
      </c>
      <c r="AH23" s="58" t="str">
        <f t="shared" si="11"/>
        <v/>
      </c>
      <c r="AI23" s="58" t="str">
        <f t="shared" si="0"/>
        <v/>
      </c>
      <c r="AJ23" s="58">
        <f t="shared" si="12"/>
        <v>0</v>
      </c>
      <c r="AK23" s="58"/>
      <c r="AL23" s="58"/>
      <c r="AM23" s="61" t="str">
        <f>IF(B23="","",VLOOKUP(B23,BDD!$A$5:$I$47,2,0))</f>
        <v/>
      </c>
      <c r="AN23" s="63" t="str">
        <f t="shared" si="13"/>
        <v/>
      </c>
      <c r="AO23" s="63" t="str">
        <f t="shared" si="14"/>
        <v/>
      </c>
      <c r="AP23" s="63" t="str">
        <f t="shared" si="15"/>
        <v/>
      </c>
      <c r="AQ23" s="63" t="str">
        <f t="shared" si="16"/>
        <v/>
      </c>
      <c r="AR23" s="63" t="str">
        <f t="shared" si="17"/>
        <v/>
      </c>
      <c r="AS23" s="63" t="str">
        <f t="shared" si="18"/>
        <v/>
      </c>
      <c r="AT23" s="63" t="str">
        <f t="shared" si="19"/>
        <v/>
      </c>
      <c r="AU23" s="63">
        <f t="shared" si="20"/>
        <v>0</v>
      </c>
      <c r="AV23" s="61" t="str">
        <f>IF(B23="","",VLOOKUP(B23,BDD!$A$5:$J$47,10,0))</f>
        <v/>
      </c>
      <c r="AW23" s="58" t="str">
        <f t="shared" si="21"/>
        <v/>
      </c>
      <c r="AX23" s="58" t="str">
        <f t="shared" si="22"/>
        <v/>
      </c>
      <c r="AY23" s="58"/>
      <c r="AZ23" s="58" t="str">
        <f t="shared" si="23"/>
        <v/>
      </c>
      <c r="BA23" s="63" t="str">
        <f t="shared" si="24"/>
        <v/>
      </c>
      <c r="BB23" s="58"/>
      <c r="BC23" s="58"/>
    </row>
    <row r="24" spans="1:55" ht="15" thickBot="1" x14ac:dyDescent="0.35">
      <c r="A24" s="73">
        <v>15</v>
      </c>
      <c r="B24" s="77"/>
      <c r="C24" s="43" t="str">
        <f>IF(B24="","",VLOOKUP(B24,BDD!$A$5:$I$47,9,0))</f>
        <v/>
      </c>
      <c r="D24" s="44" t="str">
        <f>IF(C24="","",VLOOKUP(B24,BDD!$A$5:$I$47,8,0))</f>
        <v/>
      </c>
      <c r="E24" s="45" t="str">
        <f t="shared" si="1"/>
        <v/>
      </c>
      <c r="F24" s="46" t="str">
        <f t="shared" si="2"/>
        <v/>
      </c>
      <c r="G24" s="30"/>
      <c r="H24" s="44" t="str">
        <f t="shared" si="3"/>
        <v/>
      </c>
      <c r="I24" s="74" t="str">
        <f>IF(B24="","",VLOOKUP(B24,BDD!$A$5:$I$47,2,0))</f>
        <v/>
      </c>
      <c r="J24" s="35" t="str">
        <f>IF(B24="","",VLOOKUP(B24,BDD!$A$5:$I$47,3,0))</f>
        <v/>
      </c>
      <c r="K24" s="75" t="str">
        <f>IF(B24="","",VLOOKUP(B24,BDD!$A$5:$I$47,4,0))</f>
        <v/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31"/>
      <c r="Y24" s="61" t="str">
        <f>IF(B24="","",VLOOKUP(B24,BDD!$A$5:$I$47,5,0))</f>
        <v/>
      </c>
      <c r="Z24" s="62" t="str">
        <f t="shared" si="4"/>
        <v/>
      </c>
      <c r="AA24" s="62" t="str">
        <f t="shared" si="5"/>
        <v/>
      </c>
      <c r="AB24" s="61" t="str">
        <f>IF(B24="","",VLOOKUP(B24,BDD!$A$5:$I$47,7,0))</f>
        <v/>
      </c>
      <c r="AC24" s="62" t="str">
        <f t="shared" si="6"/>
        <v/>
      </c>
      <c r="AD24" s="62" t="str">
        <f t="shared" si="7"/>
        <v/>
      </c>
      <c r="AE24" s="58" t="str">
        <f t="shared" si="8"/>
        <v/>
      </c>
      <c r="AF24" s="58">
        <f t="shared" si="9"/>
        <v>0</v>
      </c>
      <c r="AG24" s="58" t="str">
        <f t="shared" si="10"/>
        <v/>
      </c>
      <c r="AH24" s="58" t="str">
        <f t="shared" si="11"/>
        <v/>
      </c>
      <c r="AI24" s="58" t="str">
        <f t="shared" si="0"/>
        <v/>
      </c>
      <c r="AJ24" s="58">
        <f t="shared" si="12"/>
        <v>0</v>
      </c>
      <c r="AK24" s="58"/>
      <c r="AL24" s="58"/>
      <c r="AM24" s="61" t="str">
        <f>IF(B24="","",VLOOKUP(B24,BDD!$A$5:$I$47,2,0))</f>
        <v/>
      </c>
      <c r="AN24" s="63" t="str">
        <f t="shared" si="13"/>
        <v/>
      </c>
      <c r="AO24" s="63" t="str">
        <f t="shared" si="14"/>
        <v/>
      </c>
      <c r="AP24" s="63" t="str">
        <f t="shared" si="15"/>
        <v/>
      </c>
      <c r="AQ24" s="63" t="str">
        <f t="shared" si="16"/>
        <v/>
      </c>
      <c r="AR24" s="63" t="str">
        <f t="shared" si="17"/>
        <v/>
      </c>
      <c r="AS24" s="63" t="str">
        <f t="shared" si="18"/>
        <v/>
      </c>
      <c r="AT24" s="63" t="str">
        <f t="shared" si="19"/>
        <v/>
      </c>
      <c r="AU24" s="63">
        <f t="shared" si="20"/>
        <v>0</v>
      </c>
      <c r="AV24" s="61" t="str">
        <f>IF(B24="","",VLOOKUP(B24,BDD!$A$5:$J$47,10,0))</f>
        <v/>
      </c>
      <c r="AW24" s="58" t="str">
        <f t="shared" si="21"/>
        <v/>
      </c>
      <c r="AX24" s="58" t="str">
        <f t="shared" si="22"/>
        <v/>
      </c>
      <c r="AY24" s="58"/>
      <c r="AZ24" s="58" t="str">
        <f t="shared" si="23"/>
        <v/>
      </c>
      <c r="BA24" s="63" t="str">
        <f t="shared" si="24"/>
        <v/>
      </c>
      <c r="BB24" s="58"/>
      <c r="BC24" s="58"/>
    </row>
    <row r="25" spans="1:55" ht="18" x14ac:dyDescent="0.35">
      <c r="A25" s="47"/>
      <c r="B25" s="31">
        <f>IF(B10="",1, COUNTA(B10:B24))</f>
        <v>1</v>
      </c>
      <c r="C25" s="47"/>
      <c r="D25" s="48" t="s">
        <v>48</v>
      </c>
      <c r="E25" s="49">
        <f>SUM(E10:E24)</f>
        <v>0</v>
      </c>
      <c r="F25" s="50">
        <f>SUM(F10:F24)</f>
        <v>0</v>
      </c>
      <c r="G25" s="84">
        <f t="shared" ref="G25:H25" si="25">SUM(G10:G24)</f>
        <v>0</v>
      </c>
      <c r="H25" s="85">
        <f t="shared" si="25"/>
        <v>0</v>
      </c>
      <c r="I25" s="68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31" t="s">
        <v>81</v>
      </c>
      <c r="Y25" s="63">
        <f>SUM(Y10:Y24)</f>
        <v>0</v>
      </c>
      <c r="Z25" s="64">
        <f t="shared" ref="Z25:AA25" si="26">SUM(Z10:Z24)</f>
        <v>0</v>
      </c>
      <c r="AA25" s="64">
        <f t="shared" si="26"/>
        <v>0</v>
      </c>
      <c r="AB25" s="64">
        <f>SUM(AB10:AB24)</f>
        <v>0</v>
      </c>
      <c r="AC25" s="64">
        <f t="shared" ref="AC25:AD25" si="27">SUM(AC10:AC24)</f>
        <v>0</v>
      </c>
      <c r="AD25" s="64">
        <f t="shared" si="27"/>
        <v>0</v>
      </c>
      <c r="AE25" s="64">
        <f t="shared" ref="AE25" si="28">SUM(AE10:AE24)</f>
        <v>0</v>
      </c>
      <c r="AF25" s="64"/>
      <c r="AG25" s="64">
        <f>SUM(AG10:AG24)</f>
        <v>0</v>
      </c>
      <c r="AH25" s="64">
        <v>200</v>
      </c>
      <c r="AI25" s="64">
        <f>SUM(AI10:AI24)</f>
        <v>0</v>
      </c>
      <c r="AJ25" s="64"/>
      <c r="AK25" s="64"/>
      <c r="AL25" s="58"/>
      <c r="AM25" s="58" t="s">
        <v>94</v>
      </c>
      <c r="AN25" s="63">
        <f>SUM(AN10:AN24)</f>
        <v>0</v>
      </c>
      <c r="AO25" s="63">
        <f t="shared" ref="AO25:AQ25" si="29">SUM(AO10:AO24)</f>
        <v>0</v>
      </c>
      <c r="AP25" s="63">
        <f t="shared" si="29"/>
        <v>0</v>
      </c>
      <c r="AQ25" s="63">
        <f t="shared" si="29"/>
        <v>0</v>
      </c>
      <c r="AR25" s="63">
        <f t="shared" ref="AR25" si="30">SUM(AR10:AR24)</f>
        <v>0</v>
      </c>
      <c r="AS25" s="63">
        <f t="shared" ref="AS25" si="31">SUM(AS10:AS24)</f>
        <v>0</v>
      </c>
      <c r="AT25" s="63">
        <f t="shared" ref="AT25" si="32">SUM(AT10:AT24)</f>
        <v>0</v>
      </c>
      <c r="AU25" s="63">
        <f t="shared" ref="AU25" si="33">SUM(AU10:AU24)</f>
        <v>0</v>
      </c>
      <c r="AV25" s="58"/>
      <c r="AW25" s="58"/>
      <c r="AX25" s="58"/>
      <c r="AY25" s="58"/>
      <c r="AZ25" s="58"/>
      <c r="BA25" s="58"/>
      <c r="BB25" s="58"/>
      <c r="BC25" s="58"/>
    </row>
    <row r="26" spans="1:55" x14ac:dyDescent="0.3">
      <c r="A26" s="47"/>
      <c r="B26" s="47"/>
      <c r="C26" s="47"/>
      <c r="D26" s="47"/>
      <c r="E26" s="47"/>
      <c r="F26" s="47"/>
      <c r="G26" s="27"/>
      <c r="H26" s="2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31" t="s">
        <v>82</v>
      </c>
      <c r="Y26" s="58">
        <f>4*$B$25</f>
        <v>4</v>
      </c>
      <c r="Z26" s="62">
        <v>200</v>
      </c>
      <c r="AA26" s="58"/>
      <c r="AB26" s="58">
        <f>4*$B$25</f>
        <v>4</v>
      </c>
      <c r="AC26" s="62">
        <v>200</v>
      </c>
      <c r="AD26" s="58"/>
      <c r="AE26" s="58">
        <v>200</v>
      </c>
      <c r="AF26" s="58"/>
      <c r="AG26" s="58"/>
      <c r="AH26" s="58"/>
      <c r="AI26" s="58">
        <f>G25*4</f>
        <v>0</v>
      </c>
      <c r="AJ26" s="58"/>
      <c r="AK26" s="58"/>
      <c r="AL26" s="58"/>
      <c r="AM26" s="58" t="s">
        <v>82</v>
      </c>
      <c r="AN26" s="64">
        <f>$E$25</f>
        <v>0</v>
      </c>
      <c r="AO26" s="64">
        <f t="shared" ref="AO26:AQ26" si="34">$E$25</f>
        <v>0</v>
      </c>
      <c r="AP26" s="64">
        <f t="shared" si="34"/>
        <v>0</v>
      </c>
      <c r="AQ26" s="64">
        <f t="shared" si="34"/>
        <v>0</v>
      </c>
      <c r="AR26" s="64">
        <f>$G$25</f>
        <v>0</v>
      </c>
      <c r="AS26" s="64">
        <f t="shared" ref="AS26:AU26" si="35">$G$25</f>
        <v>0</v>
      </c>
      <c r="AT26" s="64">
        <f t="shared" si="35"/>
        <v>0</v>
      </c>
      <c r="AU26" s="64">
        <f t="shared" si="35"/>
        <v>0</v>
      </c>
      <c r="AV26" s="58"/>
      <c r="AW26" s="58"/>
      <c r="AX26" s="58"/>
      <c r="AY26" s="58"/>
      <c r="AZ26" s="58"/>
      <c r="BA26" s="58"/>
      <c r="BB26" s="58"/>
      <c r="BC26" s="58"/>
    </row>
    <row r="27" spans="1:55" x14ac:dyDescent="0.3">
      <c r="A27" s="47"/>
      <c r="B27" s="47"/>
      <c r="C27" s="47"/>
      <c r="D27" s="47"/>
      <c r="E27" s="47"/>
      <c r="F27" s="47"/>
      <c r="G27" s="27"/>
      <c r="H27" s="2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31" t="s">
        <v>60</v>
      </c>
      <c r="Y27" s="63">
        <f>(Y25*100)/Y26</f>
        <v>0</v>
      </c>
      <c r="Z27" s="63"/>
      <c r="AA27" s="63">
        <f>IF(AA25&lt;Z26, (AA25*100)/Z26, 99)</f>
        <v>0</v>
      </c>
      <c r="AB27" s="63">
        <f>(AB25*100)/AB26</f>
        <v>0</v>
      </c>
      <c r="AC27" s="63"/>
      <c r="AD27" s="63">
        <f>IF(AD25&lt;AC26, IF(B10="", 0, (AD25*100)/AC26), 99)</f>
        <v>0</v>
      </c>
      <c r="AE27" s="58">
        <f>(AE25*100)/AH25</f>
        <v>0</v>
      </c>
      <c r="AF27" s="58"/>
      <c r="AG27" s="63">
        <f>IF(AG25&lt;AH25, (AG25*100)/AE26, 99)</f>
        <v>0</v>
      </c>
      <c r="AH27" s="58"/>
      <c r="AI27" s="63">
        <f>IF(AI25&lt;AH25, (AI25*100)/AH25, 99)</f>
        <v>0</v>
      </c>
      <c r="AJ27" s="63"/>
      <c r="AK27" s="63"/>
      <c r="AL27" s="58"/>
      <c r="AM27" s="58" t="s">
        <v>60</v>
      </c>
      <c r="AN27" s="63" t="e">
        <f>(AN25*100)/AN26</f>
        <v>#DIV/0!</v>
      </c>
      <c r="AO27" s="63" t="e">
        <f t="shared" ref="AO27:AQ27" si="36">(AO25*100)/AO26</f>
        <v>#DIV/0!</v>
      </c>
      <c r="AP27" s="63" t="e">
        <f t="shared" si="36"/>
        <v>#DIV/0!</v>
      </c>
      <c r="AQ27" s="63" t="e">
        <f t="shared" si="36"/>
        <v>#DIV/0!</v>
      </c>
      <c r="AR27" s="63" t="e">
        <f t="shared" ref="AR27" si="37">(AR25*100)/AR26</f>
        <v>#DIV/0!</v>
      </c>
      <c r="AS27" s="63" t="e">
        <f t="shared" ref="AS27" si="38">(AS25*100)/AS26</f>
        <v>#DIV/0!</v>
      </c>
      <c r="AT27" s="63" t="e">
        <f t="shared" ref="AT27" si="39">(AT25*100)/AT26</f>
        <v>#DIV/0!</v>
      </c>
      <c r="AU27" s="63" t="e">
        <f t="shared" ref="AU27" si="40">(AU25*100)/AU26</f>
        <v>#DIV/0!</v>
      </c>
      <c r="AV27" s="58"/>
      <c r="AW27" s="58"/>
      <c r="AX27" s="58"/>
      <c r="AY27" s="58"/>
      <c r="AZ27" s="58"/>
      <c r="BA27" s="58"/>
      <c r="BB27" s="58"/>
      <c r="BC27" s="58"/>
    </row>
    <row r="28" spans="1:55" x14ac:dyDescent="0.3">
      <c r="A28" s="47"/>
      <c r="B28" s="47"/>
      <c r="C28" s="47"/>
      <c r="D28" s="47"/>
      <c r="E28" s="47"/>
      <c r="F28" s="47"/>
      <c r="G28" s="27"/>
      <c r="H28" s="2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31"/>
      <c r="Y28" s="31" t="b">
        <v>0</v>
      </c>
      <c r="Z28" s="31"/>
      <c r="AA28" s="31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</row>
    <row r="29" spans="1:55" x14ac:dyDescent="0.3">
      <c r="A29" s="47"/>
      <c r="B29" s="47"/>
      <c r="C29" s="47"/>
      <c r="D29" s="47"/>
      <c r="E29" s="47"/>
      <c r="F29" s="47"/>
      <c r="G29" s="27"/>
      <c r="H29" s="2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31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</row>
    <row r="30" spans="1:55" x14ac:dyDescent="0.3">
      <c r="A30" s="47"/>
      <c r="B30" s="47"/>
      <c r="C30" s="47"/>
      <c r="D30" s="47"/>
      <c r="E30" s="47"/>
      <c r="F30" s="47"/>
      <c r="G30" s="27"/>
      <c r="H30" s="2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31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</row>
    <row r="31" spans="1:55" x14ac:dyDescent="0.3">
      <c r="A31" s="47"/>
      <c r="B31" s="47"/>
      <c r="C31" s="47"/>
      <c r="D31" s="47"/>
      <c r="E31" s="47"/>
      <c r="F31" s="47"/>
      <c r="G31" s="27"/>
      <c r="H31" s="2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31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</row>
    <row r="32" spans="1:55" x14ac:dyDescent="0.3">
      <c r="A32" s="47"/>
      <c r="B32" s="47"/>
      <c r="C32" s="47"/>
      <c r="D32" s="47"/>
      <c r="E32" s="47"/>
      <c r="F32" s="47"/>
      <c r="G32" s="27"/>
      <c r="H32" s="2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4" x14ac:dyDescent="0.3">
      <c r="A33" s="47"/>
      <c r="B33" s="47"/>
      <c r="C33" s="47"/>
      <c r="D33" s="47"/>
      <c r="E33" s="47"/>
      <c r="F33" s="47"/>
      <c r="G33" s="27"/>
      <c r="H33" s="2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x14ac:dyDescent="0.3">
      <c r="A34" s="47"/>
      <c r="B34" s="47"/>
      <c r="C34" s="47"/>
      <c r="D34" s="47"/>
      <c r="E34" s="47"/>
      <c r="F34" s="47"/>
      <c r="G34" s="27"/>
      <c r="H34" s="2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x14ac:dyDescent="0.3">
      <c r="A35" s="47"/>
      <c r="B35" s="47"/>
      <c r="C35" s="47"/>
      <c r="D35" s="47"/>
      <c r="E35" s="47"/>
      <c r="F35" s="47"/>
      <c r="G35" s="27"/>
      <c r="H35" s="2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x14ac:dyDescent="0.3">
      <c r="A36" s="47"/>
      <c r="B36" s="47"/>
      <c r="C36" s="47"/>
      <c r="D36" s="47"/>
      <c r="E36" s="47"/>
      <c r="F36" s="47"/>
      <c r="G36" s="27"/>
      <c r="H36" s="2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x14ac:dyDescent="0.3">
      <c r="A37" s="47"/>
      <c r="B37" s="47"/>
      <c r="C37" s="47"/>
      <c r="D37" s="47"/>
      <c r="E37" s="47"/>
      <c r="F37" s="47"/>
      <c r="G37" s="27"/>
      <c r="H37" s="2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x14ac:dyDescent="0.3">
      <c r="A38" s="47"/>
      <c r="B38" s="47"/>
      <c r="C38" s="47"/>
      <c r="D38" s="47"/>
      <c r="E38" s="47"/>
      <c r="F38" s="47"/>
      <c r="G38" s="27"/>
      <c r="H38" s="2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x14ac:dyDescent="0.3">
      <c r="A39" s="47"/>
      <c r="B39" s="47"/>
      <c r="C39" s="47"/>
      <c r="D39" s="47"/>
      <c r="E39" s="47"/>
      <c r="F39" s="47"/>
      <c r="G39" s="27"/>
      <c r="H39" s="2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x14ac:dyDescent="0.3">
      <c r="A40" s="47"/>
      <c r="B40" s="47"/>
      <c r="C40" s="47"/>
      <c r="D40" s="47"/>
      <c r="E40" s="47"/>
      <c r="F40" s="47"/>
      <c r="G40" s="27"/>
      <c r="H40" s="2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x14ac:dyDescent="0.3">
      <c r="A41" s="47"/>
      <c r="B41" s="47"/>
      <c r="C41" s="47"/>
      <c r="D41" s="47"/>
      <c r="E41" s="47"/>
      <c r="F41" s="47"/>
      <c r="G41" s="27"/>
      <c r="H41" s="2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x14ac:dyDescent="0.3">
      <c r="A42" s="47"/>
      <c r="B42" s="47"/>
      <c r="C42" s="47"/>
      <c r="D42" s="47"/>
      <c r="E42" s="47"/>
      <c r="F42" s="47"/>
      <c r="G42" s="27"/>
      <c r="H42" s="2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x14ac:dyDescent="0.3">
      <c r="A43" s="47"/>
      <c r="B43" s="47"/>
      <c r="C43" s="47"/>
      <c r="D43" s="47"/>
      <c r="E43" s="47"/>
      <c r="F43" s="47"/>
      <c r="G43" s="27"/>
      <c r="H43" s="2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x14ac:dyDescent="0.3">
      <c r="C44" s="65" t="s">
        <v>61</v>
      </c>
      <c r="D44" s="57" t="s">
        <v>59</v>
      </c>
      <c r="E44" s="57" t="s">
        <v>60</v>
      </c>
      <c r="F44" s="57" t="s">
        <v>89</v>
      </c>
      <c r="G44" s="81" t="s">
        <v>90</v>
      </c>
    </row>
    <row r="45" spans="1:24" x14ac:dyDescent="0.3">
      <c r="C45" s="57" t="s">
        <v>69</v>
      </c>
      <c r="D45" s="66" t="e">
        <f>IF($Y$28=FALSE, F45,G45)</f>
        <v>#DIV/0!</v>
      </c>
      <c r="E45" s="67" t="e">
        <f>D45</f>
        <v>#DIV/0!</v>
      </c>
      <c r="F45" s="66" t="e">
        <f>AN27</f>
        <v>#DIV/0!</v>
      </c>
      <c r="G45" s="83" t="e">
        <f>AR27</f>
        <v>#DIV/0!</v>
      </c>
    </row>
    <row r="46" spans="1:24" x14ac:dyDescent="0.3">
      <c r="C46" s="57" t="s">
        <v>57</v>
      </c>
      <c r="D46" s="66" t="e">
        <f>IF($Y$28=FALSE, F46,G46)</f>
        <v>#DIV/0!</v>
      </c>
      <c r="E46" s="67" t="e">
        <f t="shared" ref="E46:E48" si="41">D46</f>
        <v>#DIV/0!</v>
      </c>
      <c r="F46" s="66" t="e">
        <f>AO27</f>
        <v>#DIV/0!</v>
      </c>
      <c r="G46" s="83" t="e">
        <f>AS27</f>
        <v>#DIV/0!</v>
      </c>
    </row>
    <row r="47" spans="1:24" x14ac:dyDescent="0.3">
      <c r="C47" s="57" t="s">
        <v>70</v>
      </c>
      <c r="D47" s="66" t="e">
        <f>IF($Y$28=FALSE, F47,G47)</f>
        <v>#DIV/0!</v>
      </c>
      <c r="E47" s="67" t="e">
        <f t="shared" si="41"/>
        <v>#DIV/0!</v>
      </c>
      <c r="F47" s="66" t="e">
        <f>AP27</f>
        <v>#DIV/0!</v>
      </c>
      <c r="G47" s="83" t="e">
        <f>AT27</f>
        <v>#DIV/0!</v>
      </c>
    </row>
    <row r="48" spans="1:24" x14ac:dyDescent="0.3">
      <c r="C48" s="57" t="s">
        <v>58</v>
      </c>
      <c r="D48" s="66" t="e">
        <f>IF($Y$28=FALSE, F48,G48)</f>
        <v>#DIV/0!</v>
      </c>
      <c r="E48" s="67" t="e">
        <f t="shared" si="41"/>
        <v>#DIV/0!</v>
      </c>
      <c r="F48" s="66" t="e">
        <f>AQ27</f>
        <v>#DIV/0!</v>
      </c>
      <c r="G48" s="83" t="e">
        <f>AU27</f>
        <v>#DIV/0!</v>
      </c>
    </row>
    <row r="50" spans="3:5" x14ac:dyDescent="0.3">
      <c r="C50" s="65" t="s">
        <v>62</v>
      </c>
      <c r="D50" s="57" t="s">
        <v>59</v>
      </c>
      <c r="E50" s="57" t="s">
        <v>60</v>
      </c>
    </row>
    <row r="51" spans="3:5" x14ac:dyDescent="0.3">
      <c r="C51" s="57" t="s">
        <v>63</v>
      </c>
      <c r="D51" s="68">
        <f>COUNTIFS($J$10:$J$24,"1")</f>
        <v>0</v>
      </c>
      <c r="E51" s="67">
        <f>(D51*100)/$B$25</f>
        <v>0</v>
      </c>
    </row>
    <row r="52" spans="3:5" x14ac:dyDescent="0.3">
      <c r="C52" s="57" t="s">
        <v>64</v>
      </c>
      <c r="D52" s="68">
        <f>COUNTIFS($J$10:$J$24,"2")</f>
        <v>0</v>
      </c>
      <c r="E52" s="67">
        <f t="shared" ref="E52:E53" si="42">(D52*100)/$B$25</f>
        <v>0</v>
      </c>
    </row>
    <row r="53" spans="3:5" x14ac:dyDescent="0.3">
      <c r="C53" s="57" t="s">
        <v>65</v>
      </c>
      <c r="D53" s="68">
        <f>COUNTIFS($J$10:$J$24,"3")</f>
        <v>0</v>
      </c>
      <c r="E53" s="67">
        <f t="shared" si="42"/>
        <v>0</v>
      </c>
    </row>
    <row r="55" spans="3:5" x14ac:dyDescent="0.3">
      <c r="C55" s="65" t="s">
        <v>66</v>
      </c>
      <c r="D55" s="57" t="s">
        <v>59</v>
      </c>
      <c r="E55" s="57" t="s">
        <v>60</v>
      </c>
    </row>
    <row r="56" spans="3:5" x14ac:dyDescent="0.3">
      <c r="C56" s="57" t="s">
        <v>67</v>
      </c>
      <c r="D56" s="68">
        <f>COUNTIFS($K$10:$K$24,"1")</f>
        <v>0</v>
      </c>
      <c r="E56" s="67">
        <f>(D56*100)/$B$25</f>
        <v>0</v>
      </c>
    </row>
    <row r="57" spans="3:5" x14ac:dyDescent="0.3">
      <c r="C57" s="57" t="s">
        <v>64</v>
      </c>
      <c r="D57" s="68">
        <f>COUNTIFS($K$10:$K$24,"2")</f>
        <v>0</v>
      </c>
      <c r="E57" s="67">
        <f t="shared" ref="E57:E58" si="43">(D57*100)/$B$25</f>
        <v>0</v>
      </c>
    </row>
    <row r="58" spans="3:5" x14ac:dyDescent="0.3">
      <c r="C58" s="57" t="s">
        <v>68</v>
      </c>
      <c r="D58" s="68">
        <f>COUNTIFS($K$10:$K$24,"3")</f>
        <v>0</v>
      </c>
      <c r="E58" s="67">
        <f t="shared" si="43"/>
        <v>0</v>
      </c>
    </row>
  </sheetData>
  <protectedRanges>
    <protectedRange sqref="A1:V6" name="Plage1"/>
  </protectedRanges>
  <mergeCells count="6">
    <mergeCell ref="L1:V1"/>
    <mergeCell ref="E8:F8"/>
    <mergeCell ref="C8:D8"/>
    <mergeCell ref="G8:H8"/>
    <mergeCell ref="A8:B8"/>
    <mergeCell ref="Q4:V4"/>
  </mergeCells>
  <dataValidations count="1">
    <dataValidation type="list" showInputMessage="1" showErrorMessage="1" sqref="B10:B24">
      <formula1>Couvert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locked="0" defaultSize="0" autoFill="0" autoLine="0" autoPict="0">
                <anchor moveWithCells="1">
                  <from>
                    <xdr:col>11</xdr:col>
                    <xdr:colOff>83820</xdr:colOff>
                    <xdr:row>3</xdr:row>
                    <xdr:rowOff>7620</xdr:rowOff>
                  </from>
                  <to>
                    <xdr:col>15</xdr:col>
                    <xdr:colOff>708660</xdr:colOff>
                    <xdr:row>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47"/>
  <sheetViews>
    <sheetView topLeftCell="A4" workbookViewId="0">
      <pane ySplit="1" topLeftCell="A5" activePane="bottomLeft" state="frozen"/>
      <selection activeCell="A4" sqref="A4"/>
      <selection pane="bottomLeft" activeCell="I6" sqref="I6"/>
    </sheetView>
  </sheetViews>
  <sheetFormatPr baseColWidth="10" defaultColWidth="11.44140625" defaultRowHeight="14.4" x14ac:dyDescent="0.3"/>
  <cols>
    <col min="1" max="1" width="21.6640625" style="5" customWidth="1"/>
    <col min="2" max="2" width="14.88671875" style="21" customWidth="1"/>
    <col min="3" max="7" width="11.44140625" style="21"/>
    <col min="8" max="10" width="11.44140625" style="5"/>
    <col min="11" max="13" width="11.44140625" style="7"/>
    <col min="14" max="14" width="11.44140625" style="21"/>
    <col min="15" max="16384" width="11.44140625" style="7"/>
  </cols>
  <sheetData>
    <row r="4" spans="1:38" x14ac:dyDescent="0.3">
      <c r="A4" s="4" t="s">
        <v>0</v>
      </c>
      <c r="B4" s="16" t="s">
        <v>1</v>
      </c>
      <c r="C4" s="6" t="s">
        <v>2</v>
      </c>
      <c r="D4" s="6" t="s">
        <v>3</v>
      </c>
      <c r="E4" s="6" t="s">
        <v>4</v>
      </c>
      <c r="F4" s="6" t="s">
        <v>46</v>
      </c>
      <c r="G4" s="6" t="s">
        <v>47</v>
      </c>
      <c r="H4" s="25" t="s">
        <v>5</v>
      </c>
      <c r="I4" s="25" t="s">
        <v>18</v>
      </c>
      <c r="J4" s="25" t="s">
        <v>98</v>
      </c>
      <c r="K4" s="12"/>
      <c r="L4" s="12"/>
      <c r="M4" s="12"/>
      <c r="N4" s="2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x14ac:dyDescent="0.3">
      <c r="A5" s="10"/>
      <c r="B5" s="17"/>
      <c r="C5" s="11"/>
      <c r="D5" s="11"/>
      <c r="E5" s="11"/>
      <c r="F5" s="11"/>
      <c r="G5" s="11"/>
      <c r="H5" s="25"/>
      <c r="I5" s="25"/>
      <c r="J5" s="25"/>
    </row>
    <row r="6" spans="1:38" s="14" customFormat="1" x14ac:dyDescent="0.3">
      <c r="A6" s="13" t="s">
        <v>8</v>
      </c>
      <c r="B6" s="18" t="s">
        <v>9</v>
      </c>
      <c r="C6" s="24">
        <v>2</v>
      </c>
      <c r="D6" s="24">
        <v>2</v>
      </c>
      <c r="E6" s="24">
        <v>1.8</v>
      </c>
      <c r="F6" s="24">
        <v>2</v>
      </c>
      <c r="G6" s="24">
        <v>2.5</v>
      </c>
      <c r="H6" s="26">
        <v>1.7</v>
      </c>
      <c r="I6" s="26">
        <v>35</v>
      </c>
      <c r="J6" s="26">
        <v>35</v>
      </c>
      <c r="K6" s="14">
        <f>I6*G6</f>
        <v>87.5</v>
      </c>
      <c r="N6" s="23">
        <f>E6*I6</f>
        <v>63</v>
      </c>
    </row>
    <row r="7" spans="1:38" x14ac:dyDescent="0.3">
      <c r="A7" s="10" t="s">
        <v>6</v>
      </c>
      <c r="B7" s="17" t="s">
        <v>9</v>
      </c>
      <c r="C7" s="11">
        <v>2</v>
      </c>
      <c r="D7" s="11">
        <v>2</v>
      </c>
      <c r="E7" s="11">
        <v>1</v>
      </c>
      <c r="F7" s="11">
        <v>2</v>
      </c>
      <c r="G7" s="11">
        <v>1.5</v>
      </c>
      <c r="H7" s="25">
        <v>0.25</v>
      </c>
      <c r="I7" s="25">
        <v>60</v>
      </c>
      <c r="J7" s="25">
        <v>20</v>
      </c>
      <c r="K7" s="7">
        <f t="shared" ref="K7:K47" si="0">I7*G7</f>
        <v>90</v>
      </c>
      <c r="N7" s="23">
        <f t="shared" ref="N7:N47" si="1">E7*I7</f>
        <v>60</v>
      </c>
    </row>
    <row r="8" spans="1:38" s="14" customFormat="1" x14ac:dyDescent="0.3">
      <c r="A8" s="13" t="s">
        <v>7</v>
      </c>
      <c r="B8" s="18" t="s">
        <v>9</v>
      </c>
      <c r="C8" s="24">
        <v>2</v>
      </c>
      <c r="D8" s="24">
        <v>2</v>
      </c>
      <c r="E8" s="24">
        <v>1</v>
      </c>
      <c r="F8" s="24">
        <v>2</v>
      </c>
      <c r="G8" s="24">
        <v>1.5</v>
      </c>
      <c r="H8" s="26">
        <v>0.25</v>
      </c>
      <c r="I8" s="26">
        <v>60</v>
      </c>
      <c r="J8" s="26">
        <v>20</v>
      </c>
      <c r="K8" s="14">
        <f t="shared" si="0"/>
        <v>90</v>
      </c>
      <c r="N8" s="23">
        <f t="shared" si="1"/>
        <v>60</v>
      </c>
    </row>
    <row r="9" spans="1:38" x14ac:dyDescent="0.3">
      <c r="A9" s="10" t="s">
        <v>20</v>
      </c>
      <c r="B9" s="17" t="s">
        <v>36</v>
      </c>
      <c r="C9" s="11">
        <v>1</v>
      </c>
      <c r="D9" s="11">
        <v>1</v>
      </c>
      <c r="E9" s="11">
        <v>6</v>
      </c>
      <c r="F9" s="11">
        <v>3</v>
      </c>
      <c r="G9" s="11">
        <v>7</v>
      </c>
      <c r="H9" s="25">
        <v>5.7</v>
      </c>
      <c r="I9" s="25">
        <v>5</v>
      </c>
      <c r="J9" s="25">
        <v>1.2</v>
      </c>
      <c r="K9" s="7">
        <f t="shared" si="0"/>
        <v>35</v>
      </c>
      <c r="N9" s="23">
        <f t="shared" si="1"/>
        <v>30</v>
      </c>
    </row>
    <row r="10" spans="1:38" s="14" customFormat="1" x14ac:dyDescent="0.3">
      <c r="A10" s="13" t="s">
        <v>22</v>
      </c>
      <c r="B10" s="18" t="s">
        <v>36</v>
      </c>
      <c r="C10" s="24">
        <v>2</v>
      </c>
      <c r="D10" s="24">
        <v>3</v>
      </c>
      <c r="E10" s="24">
        <v>20</v>
      </c>
      <c r="F10" s="24">
        <v>3</v>
      </c>
      <c r="G10" s="24">
        <v>7</v>
      </c>
      <c r="H10" s="26">
        <v>2.4900000000000002</v>
      </c>
      <c r="I10" s="26">
        <v>5</v>
      </c>
      <c r="J10" s="26">
        <v>6</v>
      </c>
      <c r="K10" s="14">
        <f t="shared" si="0"/>
        <v>35</v>
      </c>
      <c r="N10" s="23">
        <f t="shared" si="1"/>
        <v>100</v>
      </c>
    </row>
    <row r="11" spans="1:38" x14ac:dyDescent="0.3">
      <c r="A11" s="10" t="s">
        <v>29</v>
      </c>
      <c r="B11" s="17" t="s">
        <v>35</v>
      </c>
      <c r="C11" s="11">
        <v>1</v>
      </c>
      <c r="D11" s="11">
        <v>1</v>
      </c>
      <c r="E11" s="11">
        <v>1.5</v>
      </c>
      <c r="F11" s="11"/>
      <c r="G11" s="11">
        <v>4</v>
      </c>
      <c r="H11" s="25">
        <v>2.6</v>
      </c>
      <c r="I11" s="25">
        <v>30</v>
      </c>
      <c r="J11" s="25">
        <v>22</v>
      </c>
      <c r="K11" s="7">
        <f t="shared" si="0"/>
        <v>120</v>
      </c>
      <c r="N11" s="23">
        <f t="shared" si="1"/>
        <v>45</v>
      </c>
    </row>
    <row r="12" spans="1:38" s="14" customFormat="1" x14ac:dyDescent="0.3">
      <c r="A12" s="13" t="s">
        <v>23</v>
      </c>
      <c r="B12" s="18" t="s">
        <v>35</v>
      </c>
      <c r="C12" s="24">
        <v>3</v>
      </c>
      <c r="D12" s="24">
        <v>3</v>
      </c>
      <c r="E12" s="24">
        <v>0.4</v>
      </c>
      <c r="F12" s="24"/>
      <c r="G12" s="24">
        <v>1.5</v>
      </c>
      <c r="H12" s="26">
        <v>0.26</v>
      </c>
      <c r="I12" s="26">
        <v>180</v>
      </c>
      <c r="J12" s="26">
        <v>500</v>
      </c>
      <c r="K12" s="14">
        <f t="shared" si="0"/>
        <v>270</v>
      </c>
      <c r="N12" s="23">
        <f t="shared" si="1"/>
        <v>72</v>
      </c>
    </row>
    <row r="13" spans="1:38" x14ac:dyDescent="0.3">
      <c r="A13" s="10" t="s">
        <v>25</v>
      </c>
      <c r="B13" s="17" t="s">
        <v>35</v>
      </c>
      <c r="C13" s="11">
        <v>1</v>
      </c>
      <c r="D13" s="11">
        <v>2</v>
      </c>
      <c r="E13" s="11">
        <v>1.2</v>
      </c>
      <c r="F13" s="11"/>
      <c r="G13" s="11">
        <v>3</v>
      </c>
      <c r="H13" s="25">
        <v>2.2000000000000002</v>
      </c>
      <c r="I13" s="25">
        <v>50</v>
      </c>
      <c r="J13" s="25">
        <v>180</v>
      </c>
      <c r="K13" s="7">
        <f t="shared" si="0"/>
        <v>150</v>
      </c>
      <c r="N13" s="23">
        <f t="shared" si="1"/>
        <v>60</v>
      </c>
    </row>
    <row r="14" spans="1:38" s="14" customFormat="1" x14ac:dyDescent="0.3">
      <c r="A14" s="13" t="s">
        <v>30</v>
      </c>
      <c r="B14" s="18" t="s">
        <v>35</v>
      </c>
      <c r="C14" s="24">
        <v>1</v>
      </c>
      <c r="D14" s="24">
        <v>1</v>
      </c>
      <c r="E14" s="24">
        <v>1.2</v>
      </c>
      <c r="F14" s="24"/>
      <c r="G14" s="24">
        <v>3</v>
      </c>
      <c r="H14" s="26">
        <v>2.75</v>
      </c>
      <c r="I14" s="26">
        <v>45</v>
      </c>
      <c r="J14" s="26">
        <v>22</v>
      </c>
      <c r="K14" s="14">
        <f t="shared" si="0"/>
        <v>135</v>
      </c>
      <c r="N14" s="23">
        <f t="shared" si="1"/>
        <v>54</v>
      </c>
    </row>
    <row r="15" spans="1:38" x14ac:dyDescent="0.3">
      <c r="A15" s="10" t="s">
        <v>41</v>
      </c>
      <c r="B15" s="17" t="s">
        <v>45</v>
      </c>
      <c r="C15" s="11">
        <v>1</v>
      </c>
      <c r="D15" s="11">
        <v>1</v>
      </c>
      <c r="E15" s="11">
        <v>1</v>
      </c>
      <c r="F15" s="11">
        <v>2</v>
      </c>
      <c r="G15" s="11">
        <v>1</v>
      </c>
      <c r="H15" s="25">
        <v>1.25</v>
      </c>
      <c r="I15" s="25">
        <v>40</v>
      </c>
      <c r="J15" s="25">
        <v>7</v>
      </c>
      <c r="K15" s="7">
        <f t="shared" si="0"/>
        <v>40</v>
      </c>
      <c r="N15" s="23">
        <f t="shared" si="1"/>
        <v>40</v>
      </c>
    </row>
    <row r="16" spans="1:38" s="14" customFormat="1" x14ac:dyDescent="0.3">
      <c r="A16" s="13" t="s">
        <v>108</v>
      </c>
      <c r="B16" s="18" t="s">
        <v>35</v>
      </c>
      <c r="C16" s="24">
        <v>1</v>
      </c>
      <c r="D16" s="24">
        <v>3</v>
      </c>
      <c r="E16" s="24">
        <v>7</v>
      </c>
      <c r="F16" s="24"/>
      <c r="G16" s="24">
        <v>14</v>
      </c>
      <c r="H16" s="26">
        <v>9</v>
      </c>
      <c r="I16" s="26">
        <v>10</v>
      </c>
      <c r="J16" s="26">
        <v>1.1000000000000001</v>
      </c>
      <c r="K16" s="14">
        <f t="shared" si="0"/>
        <v>140</v>
      </c>
      <c r="N16" s="23">
        <f t="shared" si="1"/>
        <v>70</v>
      </c>
    </row>
    <row r="17" spans="1:14" x14ac:dyDescent="0.3">
      <c r="A17" s="10" t="s">
        <v>110</v>
      </c>
      <c r="B17" s="17" t="s">
        <v>35</v>
      </c>
      <c r="C17" s="11">
        <v>1</v>
      </c>
      <c r="D17" s="11">
        <v>3</v>
      </c>
      <c r="E17" s="11">
        <v>9</v>
      </c>
      <c r="F17" s="11"/>
      <c r="G17" s="11">
        <v>20</v>
      </c>
      <c r="H17" s="25">
        <v>5.69</v>
      </c>
      <c r="I17" s="25">
        <v>8</v>
      </c>
      <c r="J17" s="25">
        <v>2</v>
      </c>
      <c r="K17" s="7">
        <f t="shared" si="0"/>
        <v>160</v>
      </c>
      <c r="N17" s="23">
        <f t="shared" si="1"/>
        <v>72</v>
      </c>
    </row>
    <row r="18" spans="1:14" s="14" customFormat="1" x14ac:dyDescent="0.3">
      <c r="A18" s="13" t="s">
        <v>112</v>
      </c>
      <c r="B18" s="18" t="s">
        <v>35</v>
      </c>
      <c r="C18" s="24">
        <v>1</v>
      </c>
      <c r="D18" s="24">
        <v>3</v>
      </c>
      <c r="E18" s="24">
        <v>3.5</v>
      </c>
      <c r="F18" s="24"/>
      <c r="G18" s="24">
        <v>7</v>
      </c>
      <c r="H18" s="26">
        <v>4.95</v>
      </c>
      <c r="I18" s="26">
        <v>20</v>
      </c>
      <c r="J18" s="26">
        <v>2</v>
      </c>
      <c r="K18" s="14">
        <f t="shared" si="0"/>
        <v>140</v>
      </c>
      <c r="N18" s="23">
        <f t="shared" si="1"/>
        <v>70</v>
      </c>
    </row>
    <row r="19" spans="1:14" x14ac:dyDescent="0.3">
      <c r="A19" s="10" t="s">
        <v>104</v>
      </c>
      <c r="B19" s="17" t="s">
        <v>105</v>
      </c>
      <c r="C19" s="11">
        <v>3</v>
      </c>
      <c r="D19" s="11">
        <v>3</v>
      </c>
      <c r="E19" s="11">
        <v>5</v>
      </c>
      <c r="F19" s="11">
        <v>1</v>
      </c>
      <c r="G19" s="11">
        <v>6</v>
      </c>
      <c r="H19" s="25">
        <v>2.99</v>
      </c>
      <c r="I19" s="25">
        <v>15</v>
      </c>
      <c r="J19" s="25">
        <v>8</v>
      </c>
      <c r="K19" s="7">
        <f t="shared" si="0"/>
        <v>90</v>
      </c>
      <c r="N19" s="23">
        <f t="shared" si="1"/>
        <v>75</v>
      </c>
    </row>
    <row r="20" spans="1:14" s="14" customFormat="1" x14ac:dyDescent="0.3">
      <c r="A20" s="13" t="s">
        <v>109</v>
      </c>
      <c r="B20" s="18" t="s">
        <v>35</v>
      </c>
      <c r="C20" s="24">
        <v>1</v>
      </c>
      <c r="D20" s="24">
        <v>2</v>
      </c>
      <c r="E20" s="24">
        <v>7</v>
      </c>
      <c r="F20" s="24"/>
      <c r="G20" s="24">
        <v>14</v>
      </c>
      <c r="H20" s="26">
        <v>4.9000000000000004</v>
      </c>
      <c r="I20" s="26">
        <v>10</v>
      </c>
      <c r="J20" s="26">
        <v>1.7</v>
      </c>
      <c r="K20" s="14">
        <f t="shared" si="0"/>
        <v>140</v>
      </c>
      <c r="N20" s="23">
        <f t="shared" si="1"/>
        <v>70</v>
      </c>
    </row>
    <row r="21" spans="1:14" x14ac:dyDescent="0.3">
      <c r="A21" s="10" t="s">
        <v>10</v>
      </c>
      <c r="B21" s="17" t="s">
        <v>9</v>
      </c>
      <c r="C21" s="11">
        <v>3</v>
      </c>
      <c r="D21" s="11">
        <v>3</v>
      </c>
      <c r="E21" s="11">
        <v>3</v>
      </c>
      <c r="F21" s="11">
        <v>2</v>
      </c>
      <c r="G21" s="11">
        <v>4.5</v>
      </c>
      <c r="H21" s="25">
        <v>1.49</v>
      </c>
      <c r="I21" s="25">
        <v>20</v>
      </c>
      <c r="J21" s="25">
        <v>5</v>
      </c>
      <c r="K21" s="7">
        <f t="shared" si="0"/>
        <v>90</v>
      </c>
      <c r="N21" s="23">
        <f t="shared" si="1"/>
        <v>60</v>
      </c>
    </row>
    <row r="22" spans="1:14" s="14" customFormat="1" x14ac:dyDescent="0.3">
      <c r="A22" s="13" t="s">
        <v>15</v>
      </c>
      <c r="B22" s="18" t="s">
        <v>36</v>
      </c>
      <c r="C22" s="24">
        <v>3</v>
      </c>
      <c r="D22" s="24">
        <v>3</v>
      </c>
      <c r="E22" s="24">
        <v>12</v>
      </c>
      <c r="F22" s="24">
        <v>3</v>
      </c>
      <c r="G22" s="24">
        <v>5</v>
      </c>
      <c r="H22" s="26">
        <v>1.65</v>
      </c>
      <c r="I22" s="26">
        <v>8</v>
      </c>
      <c r="J22" s="26">
        <v>7</v>
      </c>
      <c r="K22" s="14">
        <f t="shared" si="0"/>
        <v>40</v>
      </c>
      <c r="N22" s="23">
        <f t="shared" si="1"/>
        <v>96</v>
      </c>
    </row>
    <row r="23" spans="1:14" x14ac:dyDescent="0.3">
      <c r="A23" s="10" t="s">
        <v>16</v>
      </c>
      <c r="B23" s="17" t="s">
        <v>36</v>
      </c>
      <c r="C23" s="11">
        <v>3</v>
      </c>
      <c r="D23" s="11">
        <v>3</v>
      </c>
      <c r="E23" s="11">
        <v>28</v>
      </c>
      <c r="F23" s="11">
        <v>3</v>
      </c>
      <c r="G23" s="11">
        <v>14</v>
      </c>
      <c r="H23" s="25">
        <v>8.4</v>
      </c>
      <c r="I23" s="25">
        <v>3</v>
      </c>
      <c r="J23" s="25">
        <v>2.5</v>
      </c>
      <c r="K23" s="7">
        <f t="shared" si="0"/>
        <v>42</v>
      </c>
      <c r="N23" s="23">
        <f t="shared" si="1"/>
        <v>84</v>
      </c>
    </row>
    <row r="24" spans="1:14" s="14" customFormat="1" x14ac:dyDescent="0.3">
      <c r="A24" s="13" t="s">
        <v>17</v>
      </c>
      <c r="B24" s="18" t="s">
        <v>36</v>
      </c>
      <c r="C24" s="24">
        <v>3</v>
      </c>
      <c r="D24" s="24">
        <v>3</v>
      </c>
      <c r="E24" s="24">
        <v>14</v>
      </c>
      <c r="F24" s="24">
        <v>3</v>
      </c>
      <c r="G24" s="24">
        <v>7</v>
      </c>
      <c r="H24" s="26">
        <v>5.15</v>
      </c>
      <c r="I24" s="26">
        <v>6</v>
      </c>
      <c r="J24" s="26">
        <v>6</v>
      </c>
      <c r="K24" s="14">
        <f t="shared" si="0"/>
        <v>42</v>
      </c>
      <c r="N24" s="23">
        <f t="shared" si="1"/>
        <v>84</v>
      </c>
    </row>
    <row r="25" spans="1:14" x14ac:dyDescent="0.3">
      <c r="A25" s="10" t="s">
        <v>38</v>
      </c>
      <c r="B25" s="17" t="s">
        <v>42</v>
      </c>
      <c r="C25" s="11">
        <v>2</v>
      </c>
      <c r="D25" s="11">
        <v>2</v>
      </c>
      <c r="E25" s="11">
        <v>6</v>
      </c>
      <c r="F25" s="11">
        <v>2</v>
      </c>
      <c r="G25" s="11">
        <v>11</v>
      </c>
      <c r="H25" s="25">
        <v>4.0999999999999996</v>
      </c>
      <c r="I25" s="25">
        <v>8</v>
      </c>
      <c r="J25" s="25">
        <v>3</v>
      </c>
      <c r="K25" s="7">
        <f t="shared" si="0"/>
        <v>88</v>
      </c>
      <c r="N25" s="23">
        <f t="shared" si="1"/>
        <v>48</v>
      </c>
    </row>
    <row r="26" spans="1:14" s="14" customFormat="1" x14ac:dyDescent="0.3">
      <c r="A26" s="13" t="s">
        <v>40</v>
      </c>
      <c r="B26" s="18" t="s">
        <v>44</v>
      </c>
      <c r="C26" s="24">
        <v>2</v>
      </c>
      <c r="D26" s="24">
        <v>2</v>
      </c>
      <c r="E26" s="24">
        <v>6</v>
      </c>
      <c r="F26" s="24">
        <v>2</v>
      </c>
      <c r="G26" s="24">
        <v>4</v>
      </c>
      <c r="H26" s="26">
        <v>3.59</v>
      </c>
      <c r="I26" s="26">
        <v>10</v>
      </c>
      <c r="J26" s="26">
        <v>2</v>
      </c>
      <c r="K26" s="14">
        <f t="shared" si="0"/>
        <v>40</v>
      </c>
      <c r="N26" s="23">
        <f t="shared" si="1"/>
        <v>60</v>
      </c>
    </row>
    <row r="27" spans="1:14" x14ac:dyDescent="0.3">
      <c r="A27" s="10" t="s">
        <v>24</v>
      </c>
      <c r="B27" s="17" t="s">
        <v>35</v>
      </c>
      <c r="C27" s="11">
        <v>2</v>
      </c>
      <c r="D27" s="11">
        <v>2</v>
      </c>
      <c r="E27" s="11">
        <v>0.8</v>
      </c>
      <c r="F27" s="11"/>
      <c r="G27" s="11">
        <v>1.5</v>
      </c>
      <c r="H27" s="25">
        <v>1.49</v>
      </c>
      <c r="I27" s="25">
        <v>100</v>
      </c>
      <c r="J27" s="25">
        <v>100</v>
      </c>
      <c r="K27" s="7">
        <f t="shared" si="0"/>
        <v>150</v>
      </c>
      <c r="N27" s="23">
        <f t="shared" si="1"/>
        <v>80</v>
      </c>
    </row>
    <row r="28" spans="1:14" s="14" customFormat="1" x14ac:dyDescent="0.3">
      <c r="A28" s="13" t="s">
        <v>31</v>
      </c>
      <c r="B28" s="18" t="s">
        <v>35</v>
      </c>
      <c r="C28" s="24">
        <v>2</v>
      </c>
      <c r="D28" s="24">
        <v>2</v>
      </c>
      <c r="E28" s="24">
        <v>0.2</v>
      </c>
      <c r="F28" s="24"/>
      <c r="G28" s="24">
        <v>0.55000000000000004</v>
      </c>
      <c r="H28" s="26">
        <v>0.2</v>
      </c>
      <c r="I28" s="26">
        <v>200</v>
      </c>
      <c r="J28" s="26">
        <v>200</v>
      </c>
      <c r="K28" s="14">
        <f t="shared" si="0"/>
        <v>110.00000000000001</v>
      </c>
      <c r="N28" s="23">
        <f t="shared" si="1"/>
        <v>40</v>
      </c>
    </row>
    <row r="29" spans="1:14" x14ac:dyDescent="0.3">
      <c r="A29" s="10" t="s">
        <v>19</v>
      </c>
      <c r="B29" s="17" t="s">
        <v>36</v>
      </c>
      <c r="C29" s="11">
        <v>2</v>
      </c>
      <c r="D29" s="11">
        <v>3</v>
      </c>
      <c r="E29" s="11">
        <v>6</v>
      </c>
      <c r="F29" s="11">
        <v>3</v>
      </c>
      <c r="G29" s="11">
        <v>3.5</v>
      </c>
      <c r="H29" s="25">
        <v>5.0999999999999996</v>
      </c>
      <c r="I29" s="25">
        <v>10</v>
      </c>
      <c r="J29" s="25">
        <v>8</v>
      </c>
      <c r="K29" s="7">
        <f t="shared" si="0"/>
        <v>35</v>
      </c>
      <c r="N29" s="23">
        <f t="shared" si="1"/>
        <v>60</v>
      </c>
    </row>
    <row r="30" spans="1:14" s="14" customFormat="1" x14ac:dyDescent="0.3">
      <c r="A30" s="13" t="s">
        <v>21</v>
      </c>
      <c r="B30" s="18" t="s">
        <v>36</v>
      </c>
      <c r="C30" s="24">
        <v>3</v>
      </c>
      <c r="D30" s="24">
        <v>3</v>
      </c>
      <c r="E30" s="24">
        <v>10</v>
      </c>
      <c r="F30" s="24">
        <v>3</v>
      </c>
      <c r="G30" s="24">
        <v>3</v>
      </c>
      <c r="H30" s="26">
        <v>2.99</v>
      </c>
      <c r="I30" s="26">
        <v>12</v>
      </c>
      <c r="J30" s="26">
        <v>9</v>
      </c>
      <c r="K30" s="14">
        <f t="shared" si="0"/>
        <v>36</v>
      </c>
      <c r="N30" s="23">
        <f t="shared" si="1"/>
        <v>120</v>
      </c>
    </row>
    <row r="31" spans="1:14" x14ac:dyDescent="0.3">
      <c r="A31" s="10" t="s">
        <v>14</v>
      </c>
      <c r="B31" s="17" t="s">
        <v>9</v>
      </c>
      <c r="C31" s="11">
        <v>2</v>
      </c>
      <c r="D31" s="11">
        <v>2</v>
      </c>
      <c r="E31" s="11">
        <v>10</v>
      </c>
      <c r="F31" s="11">
        <v>3</v>
      </c>
      <c r="G31" s="11">
        <v>4.5</v>
      </c>
      <c r="H31" s="25">
        <v>2.0499999999999998</v>
      </c>
      <c r="I31" s="25">
        <v>20</v>
      </c>
      <c r="J31" s="25">
        <v>2</v>
      </c>
      <c r="K31" s="7">
        <f t="shared" si="0"/>
        <v>90</v>
      </c>
      <c r="N31" s="23">
        <f t="shared" si="1"/>
        <v>200</v>
      </c>
    </row>
    <row r="32" spans="1:14" s="14" customFormat="1" x14ac:dyDescent="0.3">
      <c r="A32" s="13" t="s">
        <v>113</v>
      </c>
      <c r="B32" s="18" t="s">
        <v>35</v>
      </c>
      <c r="C32" s="24">
        <v>1</v>
      </c>
      <c r="D32" s="24">
        <v>3</v>
      </c>
      <c r="E32" s="24">
        <v>0.7</v>
      </c>
      <c r="F32" s="24"/>
      <c r="G32" s="24">
        <v>1</v>
      </c>
      <c r="H32" s="26">
        <v>1.99</v>
      </c>
      <c r="I32" s="26">
        <v>130</v>
      </c>
      <c r="J32" s="26">
        <v>22</v>
      </c>
      <c r="K32" s="14">
        <f t="shared" si="0"/>
        <v>130</v>
      </c>
      <c r="N32" s="23">
        <f t="shared" si="1"/>
        <v>91</v>
      </c>
    </row>
    <row r="33" spans="1:14" x14ac:dyDescent="0.3">
      <c r="A33" s="10" t="s">
        <v>114</v>
      </c>
      <c r="B33" s="17" t="s">
        <v>35</v>
      </c>
      <c r="C33" s="11">
        <v>1</v>
      </c>
      <c r="D33" s="11">
        <v>3</v>
      </c>
      <c r="E33" s="11">
        <v>2</v>
      </c>
      <c r="F33" s="11"/>
      <c r="G33" s="11">
        <v>3.2</v>
      </c>
      <c r="H33" s="25">
        <v>2.79</v>
      </c>
      <c r="I33" s="25">
        <v>40</v>
      </c>
      <c r="J33" s="25">
        <v>22</v>
      </c>
      <c r="K33" s="7">
        <f t="shared" si="0"/>
        <v>128</v>
      </c>
      <c r="N33" s="23">
        <f t="shared" si="1"/>
        <v>80</v>
      </c>
    </row>
    <row r="34" spans="1:14" s="14" customFormat="1" x14ac:dyDescent="0.3">
      <c r="A34" s="13" t="s">
        <v>39</v>
      </c>
      <c r="B34" s="18" t="s">
        <v>43</v>
      </c>
      <c r="C34" s="24">
        <v>2</v>
      </c>
      <c r="D34" s="24">
        <v>1</v>
      </c>
      <c r="E34" s="24">
        <v>2</v>
      </c>
      <c r="F34" s="24">
        <v>3</v>
      </c>
      <c r="G34" s="24">
        <v>2.5</v>
      </c>
      <c r="H34" s="26">
        <v>2.1</v>
      </c>
      <c r="I34" s="26">
        <v>35</v>
      </c>
      <c r="J34" s="26">
        <v>25</v>
      </c>
      <c r="K34" s="14">
        <f t="shared" si="0"/>
        <v>87.5</v>
      </c>
      <c r="N34" s="23">
        <f t="shared" si="1"/>
        <v>70</v>
      </c>
    </row>
    <row r="35" spans="1:14" x14ac:dyDescent="0.3">
      <c r="A35" s="10" t="s">
        <v>12</v>
      </c>
      <c r="B35" s="17" t="s">
        <v>9</v>
      </c>
      <c r="C35" s="11">
        <v>3</v>
      </c>
      <c r="D35" s="11">
        <v>3</v>
      </c>
      <c r="E35" s="11">
        <v>3</v>
      </c>
      <c r="F35" s="11">
        <v>1</v>
      </c>
      <c r="G35" s="11">
        <v>3.5</v>
      </c>
      <c r="H35" s="25">
        <v>1.1000000000000001</v>
      </c>
      <c r="I35" s="25">
        <v>25</v>
      </c>
      <c r="J35" s="25">
        <v>30</v>
      </c>
      <c r="K35" s="7">
        <f t="shared" si="0"/>
        <v>87.5</v>
      </c>
      <c r="N35" s="23">
        <f t="shared" si="1"/>
        <v>75</v>
      </c>
    </row>
    <row r="36" spans="1:14" s="14" customFormat="1" x14ac:dyDescent="0.3">
      <c r="A36" s="13" t="s">
        <v>11</v>
      </c>
      <c r="B36" s="18" t="s">
        <v>9</v>
      </c>
      <c r="C36" s="24">
        <v>3</v>
      </c>
      <c r="D36" s="24">
        <v>3</v>
      </c>
      <c r="E36" s="24">
        <v>1.2</v>
      </c>
      <c r="F36" s="24">
        <v>2</v>
      </c>
      <c r="G36" s="24">
        <v>1.5</v>
      </c>
      <c r="H36" s="26">
        <v>1.5</v>
      </c>
      <c r="I36" s="26">
        <v>60</v>
      </c>
      <c r="J36" s="26">
        <v>45</v>
      </c>
      <c r="K36" s="14">
        <f t="shared" si="0"/>
        <v>90</v>
      </c>
      <c r="N36" s="23">
        <f t="shared" si="1"/>
        <v>72</v>
      </c>
    </row>
    <row r="37" spans="1:14" x14ac:dyDescent="0.3">
      <c r="A37" s="10" t="s">
        <v>13</v>
      </c>
      <c r="B37" s="17" t="s">
        <v>9</v>
      </c>
      <c r="C37" s="11">
        <v>3</v>
      </c>
      <c r="D37" s="11">
        <v>3</v>
      </c>
      <c r="E37" s="11">
        <v>6.2</v>
      </c>
      <c r="F37" s="11">
        <v>3</v>
      </c>
      <c r="G37" s="11">
        <v>6</v>
      </c>
      <c r="H37" s="25">
        <v>4.74</v>
      </c>
      <c r="I37" s="25">
        <v>15</v>
      </c>
      <c r="J37" s="25">
        <v>30</v>
      </c>
      <c r="K37" s="7">
        <f t="shared" si="0"/>
        <v>90</v>
      </c>
      <c r="N37" s="23">
        <f t="shared" si="1"/>
        <v>93</v>
      </c>
    </row>
    <row r="38" spans="1:14" s="14" customFormat="1" x14ac:dyDescent="0.3">
      <c r="A38" s="13" t="s">
        <v>37</v>
      </c>
      <c r="B38" s="18" t="s">
        <v>42</v>
      </c>
      <c r="C38" s="24">
        <v>3</v>
      </c>
      <c r="D38" s="24">
        <v>3</v>
      </c>
      <c r="E38" s="24">
        <v>1.5</v>
      </c>
      <c r="F38" s="24">
        <v>3</v>
      </c>
      <c r="G38" s="24">
        <v>1.8</v>
      </c>
      <c r="H38" s="26">
        <v>0.2</v>
      </c>
      <c r="I38" s="26">
        <v>50</v>
      </c>
      <c r="J38" s="26">
        <v>60</v>
      </c>
      <c r="K38" s="14">
        <f t="shared" si="0"/>
        <v>90</v>
      </c>
      <c r="N38" s="23">
        <f t="shared" si="1"/>
        <v>75</v>
      </c>
    </row>
    <row r="39" spans="1:14" x14ac:dyDescent="0.3">
      <c r="A39" s="10" t="s">
        <v>111</v>
      </c>
      <c r="B39" s="17" t="s">
        <v>35</v>
      </c>
      <c r="C39" s="11">
        <v>1</v>
      </c>
      <c r="D39" s="11">
        <v>2</v>
      </c>
      <c r="E39" s="11">
        <v>18</v>
      </c>
      <c r="F39" s="11"/>
      <c r="G39" s="11">
        <v>40</v>
      </c>
      <c r="H39" s="25">
        <v>5.8</v>
      </c>
      <c r="I39" s="25">
        <v>4</v>
      </c>
      <c r="J39" s="25">
        <v>0.6</v>
      </c>
      <c r="K39" s="7">
        <f t="shared" si="0"/>
        <v>160</v>
      </c>
      <c r="N39" s="23">
        <f t="shared" si="1"/>
        <v>72</v>
      </c>
    </row>
    <row r="40" spans="1:14" s="14" customFormat="1" x14ac:dyDescent="0.3">
      <c r="A40" s="13" t="s">
        <v>26</v>
      </c>
      <c r="B40" s="18" t="s">
        <v>35</v>
      </c>
      <c r="C40" s="24">
        <v>1</v>
      </c>
      <c r="D40" s="24">
        <v>2</v>
      </c>
      <c r="E40" s="24">
        <v>3.5</v>
      </c>
      <c r="F40" s="24"/>
      <c r="G40" s="24">
        <v>10</v>
      </c>
      <c r="H40" s="26">
        <v>2.39</v>
      </c>
      <c r="I40" s="26">
        <v>15</v>
      </c>
      <c r="J40" s="26">
        <v>2.5</v>
      </c>
      <c r="K40" s="14">
        <f t="shared" si="0"/>
        <v>150</v>
      </c>
      <c r="N40" s="23">
        <f t="shared" si="1"/>
        <v>52.5</v>
      </c>
    </row>
    <row r="41" spans="1:14" x14ac:dyDescent="0.3">
      <c r="A41" s="10" t="s">
        <v>106</v>
      </c>
      <c r="B41" s="17" t="s">
        <v>35</v>
      </c>
      <c r="C41" s="11">
        <v>1</v>
      </c>
      <c r="D41" s="11">
        <v>2</v>
      </c>
      <c r="E41" s="11">
        <v>7</v>
      </c>
      <c r="F41" s="11"/>
      <c r="G41" s="11">
        <v>15</v>
      </c>
      <c r="H41" s="25">
        <v>3.99</v>
      </c>
      <c r="I41" s="25">
        <v>10</v>
      </c>
      <c r="J41" s="25">
        <v>0.8</v>
      </c>
      <c r="K41" s="7">
        <f t="shared" si="0"/>
        <v>150</v>
      </c>
      <c r="N41" s="23">
        <f t="shared" si="1"/>
        <v>70</v>
      </c>
    </row>
    <row r="42" spans="1:14" s="14" customFormat="1" x14ac:dyDescent="0.3">
      <c r="A42" s="13" t="s">
        <v>107</v>
      </c>
      <c r="B42" s="18" t="s">
        <v>35</v>
      </c>
      <c r="C42" s="24">
        <v>1</v>
      </c>
      <c r="D42" s="24">
        <v>2</v>
      </c>
      <c r="E42" s="24">
        <v>3</v>
      </c>
      <c r="F42" s="24"/>
      <c r="G42" s="24">
        <v>6</v>
      </c>
      <c r="H42" s="26">
        <v>5.85</v>
      </c>
      <c r="I42" s="26">
        <v>20</v>
      </c>
      <c r="J42" s="26">
        <v>2</v>
      </c>
      <c r="K42" s="14">
        <f t="shared" si="0"/>
        <v>120</v>
      </c>
      <c r="N42" s="23">
        <f t="shared" si="1"/>
        <v>60</v>
      </c>
    </row>
    <row r="43" spans="1:14" x14ac:dyDescent="0.3">
      <c r="A43" s="10" t="s">
        <v>28</v>
      </c>
      <c r="B43" s="17" t="s">
        <v>35</v>
      </c>
      <c r="C43" s="11">
        <v>1</v>
      </c>
      <c r="D43" s="11">
        <v>2</v>
      </c>
      <c r="E43" s="11">
        <v>6</v>
      </c>
      <c r="F43" s="11"/>
      <c r="G43" s="11">
        <v>10</v>
      </c>
      <c r="H43" s="25">
        <v>2.69</v>
      </c>
      <c r="I43" s="25">
        <v>15</v>
      </c>
      <c r="J43" s="25">
        <v>2.5</v>
      </c>
      <c r="K43" s="7">
        <f t="shared" si="0"/>
        <v>150</v>
      </c>
      <c r="N43" s="23">
        <f t="shared" si="1"/>
        <v>90</v>
      </c>
    </row>
    <row r="44" spans="1:14" s="14" customFormat="1" x14ac:dyDescent="0.3">
      <c r="A44" s="13" t="s">
        <v>27</v>
      </c>
      <c r="B44" s="18" t="s">
        <v>35</v>
      </c>
      <c r="C44" s="24">
        <v>1</v>
      </c>
      <c r="D44" s="24">
        <v>2</v>
      </c>
      <c r="E44" s="24">
        <v>4</v>
      </c>
      <c r="F44" s="24"/>
      <c r="G44" s="24">
        <v>10</v>
      </c>
      <c r="H44" s="26">
        <v>5.8</v>
      </c>
      <c r="I44" s="26">
        <v>15</v>
      </c>
      <c r="J44" s="26">
        <v>1.9</v>
      </c>
      <c r="K44" s="14">
        <f t="shared" si="0"/>
        <v>150</v>
      </c>
      <c r="N44" s="23">
        <f t="shared" si="1"/>
        <v>60</v>
      </c>
    </row>
    <row r="45" spans="1:14" x14ac:dyDescent="0.3">
      <c r="A45" s="10" t="s">
        <v>32</v>
      </c>
      <c r="B45" s="17" t="s">
        <v>35</v>
      </c>
      <c r="C45" s="11">
        <v>1</v>
      </c>
      <c r="D45" s="11">
        <v>2</v>
      </c>
      <c r="E45" s="11">
        <v>1</v>
      </c>
      <c r="F45" s="11"/>
      <c r="G45" s="11">
        <v>3</v>
      </c>
      <c r="H45" s="25">
        <v>1.85</v>
      </c>
      <c r="I45" s="25">
        <v>50</v>
      </c>
      <c r="J45" s="25">
        <v>60</v>
      </c>
      <c r="K45" s="7">
        <f t="shared" si="0"/>
        <v>150</v>
      </c>
      <c r="N45" s="23">
        <f t="shared" si="1"/>
        <v>50</v>
      </c>
    </row>
    <row r="46" spans="1:14" s="14" customFormat="1" x14ac:dyDescent="0.3">
      <c r="A46" s="15" t="s">
        <v>34</v>
      </c>
      <c r="B46" s="19" t="s">
        <v>35</v>
      </c>
      <c r="C46" s="11">
        <v>1</v>
      </c>
      <c r="D46" s="11">
        <v>2</v>
      </c>
      <c r="E46" s="11">
        <v>2.2000000000000002</v>
      </c>
      <c r="F46" s="11"/>
      <c r="G46" s="11">
        <v>3.8</v>
      </c>
      <c r="H46" s="26">
        <v>1.99</v>
      </c>
      <c r="I46" s="26">
        <v>40</v>
      </c>
      <c r="J46" s="26">
        <v>60</v>
      </c>
      <c r="K46" s="14">
        <f t="shared" si="0"/>
        <v>152</v>
      </c>
      <c r="N46" s="23">
        <f t="shared" si="1"/>
        <v>88</v>
      </c>
    </row>
    <row r="47" spans="1:14" x14ac:dyDescent="0.3">
      <c r="A47" s="8" t="s">
        <v>33</v>
      </c>
      <c r="B47" s="20" t="s">
        <v>35</v>
      </c>
      <c r="C47" s="9">
        <v>1</v>
      </c>
      <c r="D47" s="9">
        <v>2</v>
      </c>
      <c r="E47" s="9">
        <v>2.5</v>
      </c>
      <c r="F47" s="9"/>
      <c r="G47" s="9">
        <v>4.3</v>
      </c>
      <c r="H47" s="25">
        <v>3.13</v>
      </c>
      <c r="I47" s="25">
        <v>35</v>
      </c>
      <c r="J47" s="25">
        <v>60</v>
      </c>
      <c r="K47" s="7">
        <f t="shared" si="0"/>
        <v>150.5</v>
      </c>
      <c r="N47" s="23">
        <f t="shared" si="1"/>
        <v>87.5</v>
      </c>
    </row>
  </sheetData>
  <sheetProtection password="DDBD" sheet="1" objects="1" scenarios="1"/>
  <protectedRanges>
    <protectedRange sqref="H6:J47" name="Plage1"/>
  </protectedRanges>
  <sortState ref="A6:J47">
    <sortCondition ref="A6:A47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J13" sqref="J13"/>
    </sheetView>
  </sheetViews>
  <sheetFormatPr baseColWidth="10" defaultColWidth="11.44140625" defaultRowHeight="14.4" x14ac:dyDescent="0.3"/>
  <cols>
    <col min="1" max="16384" width="11.44140625" style="2"/>
  </cols>
  <sheetData>
    <row r="3" spans="1:6" x14ac:dyDescent="0.3">
      <c r="B3" s="2" t="s">
        <v>78</v>
      </c>
      <c r="E3" s="2" t="s">
        <v>83</v>
      </c>
    </row>
    <row r="4" spans="1:6" x14ac:dyDescent="0.3">
      <c r="B4" s="2" t="s">
        <v>71</v>
      </c>
      <c r="C4" s="2">
        <v>33</v>
      </c>
      <c r="E4" s="2" t="s">
        <v>71</v>
      </c>
      <c r="F4" s="2">
        <v>33</v>
      </c>
    </row>
    <row r="5" spans="1:6" x14ac:dyDescent="0.3">
      <c r="B5" s="2" t="s">
        <v>72</v>
      </c>
      <c r="C5" s="2">
        <v>33</v>
      </c>
      <c r="E5" s="2" t="s">
        <v>72</v>
      </c>
      <c r="F5" s="2">
        <v>33</v>
      </c>
    </row>
    <row r="6" spans="1:6" x14ac:dyDescent="0.3">
      <c r="B6" s="2" t="s">
        <v>73</v>
      </c>
      <c r="C6" s="2">
        <v>33</v>
      </c>
      <c r="E6" s="2" t="s">
        <v>73</v>
      </c>
      <c r="F6" s="2">
        <v>33</v>
      </c>
    </row>
    <row r="7" spans="1:6" x14ac:dyDescent="0.3">
      <c r="B7" s="2" t="s">
        <v>74</v>
      </c>
      <c r="C7" s="2">
        <f>SUM(C4:C6)</f>
        <v>99</v>
      </c>
      <c r="E7" s="2" t="s">
        <v>74</v>
      </c>
      <c r="F7" s="2">
        <f>SUM(F4:F6)</f>
        <v>99</v>
      </c>
    </row>
    <row r="10" spans="1:6" x14ac:dyDescent="0.3">
      <c r="B10" s="2" t="s">
        <v>75</v>
      </c>
      <c r="C10" s="3">
        <f>IF('Simulateur Couverts'!Y28=FALSE, Feuil3!B15, Feuil3!B16)</f>
        <v>0</v>
      </c>
      <c r="E10" s="2" t="s">
        <v>75</v>
      </c>
      <c r="F10" s="3">
        <f>IF('Simulateur Couverts'!Y28=FALSE, Feuil3!E15, Feuil3!E16)</f>
        <v>0</v>
      </c>
    </row>
    <row r="11" spans="1:6" x14ac:dyDescent="0.3">
      <c r="B11" s="2" t="s">
        <v>76</v>
      </c>
      <c r="C11" s="2">
        <v>2</v>
      </c>
      <c r="E11" s="2" t="s">
        <v>76</v>
      </c>
      <c r="F11" s="2">
        <v>2</v>
      </c>
    </row>
    <row r="12" spans="1:6" x14ac:dyDescent="0.3">
      <c r="B12" s="2" t="s">
        <v>77</v>
      </c>
      <c r="C12" s="2">
        <f>SUM(C4:C7)-(C10+C11)</f>
        <v>196</v>
      </c>
      <c r="E12" s="2" t="s">
        <v>77</v>
      </c>
      <c r="F12" s="2">
        <f>SUM(F4:F7)-(F10+F11)</f>
        <v>196</v>
      </c>
    </row>
    <row r="15" spans="1:6" x14ac:dyDescent="0.3">
      <c r="A15" s="2" t="s">
        <v>92</v>
      </c>
      <c r="B15" s="3">
        <f>'Simulateur Couverts'!AD27</f>
        <v>0</v>
      </c>
      <c r="E15" s="3">
        <f>'Simulateur Couverts'!AA27</f>
        <v>0</v>
      </c>
    </row>
    <row r="16" spans="1:6" x14ac:dyDescent="0.3">
      <c r="A16" s="2" t="s">
        <v>93</v>
      </c>
      <c r="B16" s="3">
        <f>'Simulateur Couverts'!AI27</f>
        <v>0</v>
      </c>
      <c r="E16" s="3">
        <f>'Simulateur Couverts'!AG27</f>
        <v>0</v>
      </c>
    </row>
  </sheetData>
  <sheetProtection password="DDBD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Notice</vt:lpstr>
      <vt:lpstr>Simulateur Couverts</vt:lpstr>
      <vt:lpstr>BDD</vt:lpstr>
      <vt:lpstr>Feuil3</vt:lpstr>
      <vt:lpstr>Couvert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Wattiez Sandrine</dc:creator>
  <cp:lastModifiedBy>Wattiez Sandrine</cp:lastModifiedBy>
  <dcterms:created xsi:type="dcterms:W3CDTF">2017-03-24T10:02:17Z</dcterms:created>
  <dcterms:modified xsi:type="dcterms:W3CDTF">2017-04-24T08:13:28Z</dcterms:modified>
</cp:coreProperties>
</file>